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uVJlQL775Afqwn8BYVGNaO/F2TVZ8xegbhyF45UdGuoGQ3XeL5vQWjuhCIJwMaaG1euynYDU90J5s/aEXFx+A==" workbookSaltValue="Drg72locKW9JBc93MlbW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Q32" i="20"/>
  <c r="AJ32" i="20"/>
  <c r="G30" i="14"/>
  <c r="G23" i="14"/>
  <c r="U18" i="11"/>
  <c r="AX32" i="20"/>
  <c r="Y32" i="20"/>
  <c r="L32" i="20"/>
  <c r="AG32" i="20"/>
  <c r="H32" i="20"/>
  <c r="T32" i="21"/>
  <c r="F32" i="20"/>
  <c r="AF32" i="20"/>
  <c r="G26" i="14"/>
  <c r="S32" i="20"/>
  <c r="K32" i="20"/>
  <c r="AQ32" i="21"/>
  <c r="O17" i="11"/>
  <c r="E32" i="20"/>
  <c r="M32" i="20"/>
  <c r="AI32" i="20"/>
  <c r="AM32" i="20"/>
  <c r="U10" i="11"/>
  <c r="I32" i="20"/>
  <c r="J32" i="20"/>
  <c r="AK32" i="20"/>
  <c r="AE32" i="20"/>
  <c r="U12" i="11"/>
  <c r="AU32" i="20"/>
  <c r="AZ32" i="20"/>
  <c r="G14" i="14"/>
  <c r="O18" i="11"/>
  <c r="R32" i="20"/>
  <c r="W32" i="20"/>
  <c r="L17" i="14" l="1"/>
  <c r="BF17" i="8"/>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I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L31" i="21" l="1"/>
  <c r="AQ17" i="11"/>
  <c r="BF23" i="11"/>
  <c r="BJ23" i="11"/>
  <c r="Q9" i="11"/>
  <c r="Q13" i="11"/>
  <c r="P21" i="11"/>
  <c r="P29" i="11"/>
  <c r="BK14" i="11"/>
  <c r="P18" i="11"/>
  <c r="Q16" i="11"/>
  <c r="S23" i="16"/>
  <c r="BU33" i="17"/>
  <c r="R14" i="21"/>
  <c r="R31" i="21" s="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<sst xmlns="http://schemas.openxmlformats.org/spreadsheetml/2006/main" count="2682" uniqueCount="1193">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</sst>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lVAgRIbSaIy1YGjqBHJuddV6Q9aKEVxh+5glS8JrrZw10zhoUBMNBCXl28ligzBNIwokYmGf7vx6hGXP/FByg==" saltValue="vyVcD8h3wHQbYVWtwuyy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26.353629976580798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529</v>
      </c>
      <c r="D17" s="239">
        <f>IF(ISNUMBER(IF(D_I="SI",Datos!I17,Datos!I17+Datos!AC17)),IF(D_I="SI",Datos!I17,Datos!I17+Datos!AC17)," - ")</f>
        <v>531</v>
      </c>
      <c r="E17" s="240">
        <f>IF(ISNUMBER(IF(D_I="SI",Datos!J17,Datos!J17+Datos!AD17)),IF(D_I="SI",Datos!J17,Datos!J17+Datos!AD17)," - ")</f>
        <v>566</v>
      </c>
      <c r="F17" s="240">
        <f>IF(ISNUMBER(IF(D_I="SI",Datos!K17,Datos!K17+Datos!AE17)),IF(D_I="SI",Datos!K17,Datos!K17+Datos!AE17)," - ")</f>
        <v>579</v>
      </c>
      <c r="G17" s="1390" t="str">
        <f>IF(Datos!E17&lt;&gt;"",Datos!E17,Datos!D17)</f>
        <v>04</v>
      </c>
      <c r="H17" s="241">
        <f>IF(ISNUMBER(IF(D_I="SI",Datos!L17,Datos!L17+Datos!AF17)),IF(D_I="SI",Datos!L17,Datos!L17+Datos!AF17)," - ")</f>
        <v>516</v>
      </c>
      <c r="I17" s="1400" t="str">
        <f>IF(ISNUMBER(Datos!AS17/Datos!BM17),Datos!AS17/Datos!BM17," - ")</f>
        <v xml:space="preserve"> - </v>
      </c>
      <c r="J17" s="1401">
        <f>IF(ISNUMBER(Datos!BY17/Datos!CN17),Datos!BY17/Datos!CN17," - ")</f>
        <v>0</v>
      </c>
      <c r="K17" s="244">
        <f t="shared" si="3"/>
        <v>-2.4574669187145556E-2</v>
      </c>
      <c r="L17" s="1402">
        <f>IF(ISNUMBER(NºAsuntos!I17/NºAsuntos!G17),(NºAsuntos!I17/NºAsuntos!G17)*11," - ")</f>
        <v>9.8031088082901547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35</v>
      </c>
      <c r="F18" s="240">
        <f>IF(ISNUMBER(IF(D_I="SI",Datos!K18,Datos!K18+Datos!AE18)),IF(D_I="SI",Datos!K18,Datos!K18+Datos!AE18)," - ")</f>
        <v>38</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-0.10714285714285714</v>
      </c>
      <c r="L18" s="1402">
        <f>IF(ISNUMBER(NºAsuntos!I18/NºAsuntos!G18),(NºAsuntos!I18/NºAsuntos!G18)*11," - ")</f>
        <v>7.2368421052631584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557</v>
      </c>
      <c r="D23" s="1407">
        <f>SUBTOTAL(9,D16:D22)</f>
        <v>559</v>
      </c>
      <c r="E23" s="1408">
        <f>SUBTOTAL(9,E16:E22)</f>
        <v>601</v>
      </c>
      <c r="F23" s="1408">
        <f>SUBTOTAL(9,F16:F22)</f>
        <v>617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560</v>
      </c>
      <c r="D31" s="1435">
        <f>SUBTOTAL(9,D9:D30)</f>
        <v>562</v>
      </c>
      <c r="E31" s="1436">
        <f>SUBTOTAL(9,E9:E30)</f>
        <v>603</v>
      </c>
      <c r="F31" s="1436">
        <f>SUBTOTAL(9,F9:F30)</f>
        <v>618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R73hbW5DkZ5d+dR2uO6HUuSzwKj7+MsAx+vSCKaAPRS6EHYonKs5TWpAOjwtzQ9FfIZgOhnZPfwci4+rK7UEw==" saltValue="ADLZIoyMYGb/3d2TLmUc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AOxDJhWEYybLNM8INuGuSCJShby+GyGX98Bl5YX2jH0yqenNhMg2f+pW94SdBCgKTVLv9jum7tNqgwmvfemew==" saltValue="fePyQQQXQ98oFiV/jrxr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1</v>
      </c>
      <c r="L10" s="194">
        <v>4</v>
      </c>
      <c r="M10" s="194">
        <v>1</v>
      </c>
      <c r="N10" s="194">
        <v>0</v>
      </c>
      <c r="O10" s="194">
        <v>0</v>
      </c>
      <c r="P10" s="194">
        <v>0</v>
      </c>
      <c r="Q10" s="194">
        <v>0</v>
      </c>
      <c r="R10" s="194">
        <v>18</v>
      </c>
      <c r="S10" s="194">
        <v>13</v>
      </c>
      <c r="T10" s="194">
        <v>6</v>
      </c>
      <c r="U10" s="194">
        <v>3</v>
      </c>
      <c r="V10" s="194">
        <v>11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6</v>
      </c>
      <c r="BA10" s="139">
        <f t="shared" si="0"/>
        <v>3</v>
      </c>
      <c r="BB10" s="139">
        <f t="shared" si="0"/>
        <v>11</v>
      </c>
      <c r="BC10" s="135">
        <f t="shared" si="0"/>
        <v>2</v>
      </c>
      <c r="BD10" s="136">
        <f>IF(ISNUMBER(BA10/AZ10),BA10/AZ10," - ")</f>
        <v>0.5</v>
      </c>
      <c r="BE10" s="137">
        <f>IF(ISNUMBER(BB10/BA10),BB10/BA10, " - ")</f>
        <v>3.6666666666666665</v>
      </c>
      <c r="BF10" s="137">
        <f>IF(ISNUMBER(BC10/BA10),BC10/BA10, " - ")</f>
        <v>0.66666666666666663</v>
      </c>
      <c r="BG10" s="209">
        <f>IF(ISNUMBER((AY10+AZ10)/BA10),(AY10+AZ10)/BA10," - ")</f>
        <v>6.333333333333333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894</v>
      </c>
      <c r="J12" s="196">
        <v>386</v>
      </c>
      <c r="K12" s="196">
        <v>379</v>
      </c>
      <c r="L12" s="196">
        <v>901</v>
      </c>
      <c r="M12" s="196">
        <v>62</v>
      </c>
      <c r="N12" s="196">
        <v>111</v>
      </c>
      <c r="O12" s="194">
        <v>287</v>
      </c>
      <c r="P12" s="196">
        <v>147</v>
      </c>
      <c r="Q12" s="196">
        <v>38</v>
      </c>
      <c r="R12" s="196">
        <v>2056</v>
      </c>
      <c r="S12" s="196">
        <v>894</v>
      </c>
      <c r="T12" s="196">
        <v>479</v>
      </c>
      <c r="U12" s="196">
        <v>444</v>
      </c>
      <c r="V12" s="196">
        <v>896</v>
      </c>
      <c r="W12" s="196">
        <v>79</v>
      </c>
      <c r="X12" s="202">
        <v>165</v>
      </c>
      <c r="Y12" s="204">
        <v>38</v>
      </c>
      <c r="Z12" s="194">
        <v>132</v>
      </c>
      <c r="AA12" s="194">
        <v>48</v>
      </c>
      <c r="AB12" s="194">
        <v>122</v>
      </c>
      <c r="AC12" s="196">
        <v>0</v>
      </c>
      <c r="AD12" s="196">
        <v>0</v>
      </c>
      <c r="AE12" s="196">
        <v>0</v>
      </c>
      <c r="AF12" s="202">
        <v>0</v>
      </c>
      <c r="AG12" s="215">
        <v>36</v>
      </c>
      <c r="AH12" s="196">
        <v>40</v>
      </c>
      <c r="AI12" s="196">
        <v>35</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930</v>
      </c>
      <c r="AZ12" s="137">
        <f t="shared" si="1"/>
        <v>519</v>
      </c>
      <c r="BA12" s="137">
        <f t="shared" si="1"/>
        <v>479</v>
      </c>
      <c r="BB12" s="137">
        <f t="shared" si="1"/>
        <v>937</v>
      </c>
      <c r="BC12" s="135">
        <f>IF(ISNUMBER(X12),X12," - ")</f>
        <v>165</v>
      </c>
      <c r="BD12" s="136">
        <f t="shared" si="2"/>
        <v>0.92292870905587665</v>
      </c>
      <c r="BE12" s="137">
        <f t="shared" si="3"/>
        <v>1.9561586638830897</v>
      </c>
      <c r="BF12" s="137">
        <f t="shared" si="4"/>
        <v>0.3444676409185804</v>
      </c>
      <c r="BG12" s="209">
        <f t="shared" si="5"/>
        <v>3.0250521920668056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897</v>
      </c>
      <c r="J14" s="197">
        <f t="shared" si="7"/>
        <v>388</v>
      </c>
      <c r="K14" s="197">
        <f t="shared" si="7"/>
        <v>380</v>
      </c>
      <c r="L14" s="197">
        <f t="shared" si="7"/>
        <v>905</v>
      </c>
      <c r="M14" s="197">
        <f t="shared" si="7"/>
        <v>63</v>
      </c>
      <c r="N14" s="197">
        <f t="shared" si="7"/>
        <v>111</v>
      </c>
      <c r="O14" s="197">
        <f t="shared" si="7"/>
        <v>287</v>
      </c>
      <c r="P14" s="197">
        <f t="shared" si="7"/>
        <v>147</v>
      </c>
      <c r="Q14" s="197">
        <f t="shared" si="7"/>
        <v>38</v>
      </c>
      <c r="R14" s="197">
        <f t="shared" si="7"/>
        <v>2074</v>
      </c>
      <c r="S14" s="197">
        <f t="shared" si="7"/>
        <v>907</v>
      </c>
      <c r="T14" s="197">
        <f t="shared" si="7"/>
        <v>485</v>
      </c>
      <c r="U14" s="197">
        <f t="shared" si="7"/>
        <v>447</v>
      </c>
      <c r="V14" s="197">
        <f t="shared" si="7"/>
        <v>907</v>
      </c>
      <c r="W14" s="197">
        <f t="shared" si="7"/>
        <v>81</v>
      </c>
      <c r="X14" s="197">
        <f t="shared" si="7"/>
        <v>166</v>
      </c>
      <c r="Y14" s="197">
        <f t="shared" si="7"/>
        <v>38</v>
      </c>
      <c r="Z14" s="197">
        <f t="shared" si="7"/>
        <v>132</v>
      </c>
      <c r="AA14" s="197">
        <f t="shared" si="7"/>
        <v>48</v>
      </c>
      <c r="AB14" s="197">
        <f t="shared" si="7"/>
        <v>122</v>
      </c>
      <c r="AC14" s="197">
        <f t="shared" si="7"/>
        <v>0</v>
      </c>
      <c r="AD14" s="197">
        <f t="shared" si="7"/>
        <v>0</v>
      </c>
      <c r="AE14" s="197">
        <f t="shared" si="7"/>
        <v>0</v>
      </c>
      <c r="AF14" s="197">
        <f>SUBTOTAL(9,AF9:AF13)</f>
        <v>0</v>
      </c>
      <c r="AG14" s="197">
        <f t="shared" ref="AG14:AT14" si="8">SUBTOTAL(9,AG8:AG13)</f>
        <v>36</v>
      </c>
      <c r="AH14" s="197">
        <f t="shared" si="8"/>
        <v>40</v>
      </c>
      <c r="AI14" s="197">
        <f t="shared" si="8"/>
        <v>35</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943</v>
      </c>
      <c r="AZ14" s="197">
        <f>SUBTOTAL(9,AZ8:AZ13)</f>
        <v>525</v>
      </c>
      <c r="BA14" s="197">
        <f>SUBTOTAL(9,BA8:BA13)</f>
        <v>482</v>
      </c>
      <c r="BB14" s="197">
        <f>SUBTOTAL(9,BB8:BB13)</f>
        <v>948</v>
      </c>
      <c r="BC14" s="197">
        <f>SUBTOTAL(9,BC8:BC13)</f>
        <v>167</v>
      </c>
      <c r="BD14" s="219">
        <f>IF(ISNUMBER(BA14/AZ14),BA14/AZ14," - ")</f>
        <v>0.91809523809523808</v>
      </c>
      <c r="BE14" s="220">
        <f>IF(ISNUMBER(BB14/BA14),BB14/BA14, " - ")</f>
        <v>1.9668049792531119</v>
      </c>
      <c r="BF14" s="220">
        <f>IF(ISNUMBER(BC14/BA14),BC14/BA14, " - ")</f>
        <v>0.34647302904564314</v>
      </c>
      <c r="BG14" s="221">
        <f>IF(ISNUMBER((AY14+AZ14)/BA14),(AY14+AZ14)/BA14," - ")</f>
        <v>3.0456431535269708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531</v>
      </c>
      <c r="J17" s="196">
        <v>566</v>
      </c>
      <c r="K17" s="196">
        <v>579</v>
      </c>
      <c r="L17" s="196">
        <v>516</v>
      </c>
      <c r="M17" s="196">
        <v>53</v>
      </c>
      <c r="N17" s="196">
        <v>360</v>
      </c>
      <c r="O17" s="194">
        <v>33</v>
      </c>
      <c r="P17" s="196">
        <v>26</v>
      </c>
      <c r="Q17" s="196">
        <v>34</v>
      </c>
      <c r="R17" s="196">
        <v>89</v>
      </c>
      <c r="S17" s="196">
        <v>553</v>
      </c>
      <c r="T17" s="196">
        <v>449</v>
      </c>
      <c r="U17" s="196">
        <v>443</v>
      </c>
      <c r="V17" s="196">
        <v>559</v>
      </c>
      <c r="W17" s="196">
        <v>65</v>
      </c>
      <c r="X17" s="202">
        <v>246</v>
      </c>
      <c r="Y17" s="215">
        <v>0</v>
      </c>
      <c r="Z17" s="196">
        <v>0</v>
      </c>
      <c r="AA17" s="196">
        <v>0</v>
      </c>
      <c r="AB17" s="196">
        <v>0</v>
      </c>
      <c r="AC17" s="196">
        <v>0</v>
      </c>
      <c r="AD17" s="196">
        <v>6</v>
      </c>
      <c r="AE17" s="196">
        <v>6</v>
      </c>
      <c r="AF17" s="202">
        <v>0</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553</v>
      </c>
      <c r="AZ17" s="137">
        <f t="shared" si="10"/>
        <v>449</v>
      </c>
      <c r="BA17" s="137">
        <f t="shared" si="10"/>
        <v>443</v>
      </c>
      <c r="BB17" s="137">
        <f t="shared" si="10"/>
        <v>559</v>
      </c>
      <c r="BC17" s="135">
        <f>IF(ISNUMBER(W17),W17," - ")</f>
        <v>65</v>
      </c>
      <c r="BD17" s="136">
        <f t="shared" ref="BD17:BD22" si="12">IF(ISNUMBER(BA17/AZ17),BA17/AZ17," - ")</f>
        <v>0.98663697104677062</v>
      </c>
      <c r="BE17" s="137">
        <f t="shared" ref="BE17:BE22" si="13">IF(ISNUMBER(BB17/BA17),BB17/BA17, " - ")</f>
        <v>1.2618510158013545</v>
      </c>
      <c r="BF17" s="137">
        <f t="shared" ref="BF17:BF22" si="14">IF(ISNUMBER(BC17/BA17),BC17/BA17, " - ")</f>
        <v>0.14672686230248308</v>
      </c>
      <c r="BG17" s="209">
        <f t="shared" si="11"/>
        <v>2.2618510158013545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35</v>
      </c>
      <c r="K18" s="196">
        <v>38</v>
      </c>
      <c r="L18" s="196">
        <v>25</v>
      </c>
      <c r="M18" s="196">
        <v>2</v>
      </c>
      <c r="N18" s="196">
        <v>17</v>
      </c>
      <c r="O18" s="196">
        <v>0</v>
      </c>
      <c r="P18" s="196">
        <v>1</v>
      </c>
      <c r="Q18" s="196">
        <v>0</v>
      </c>
      <c r="R18" s="196">
        <v>1</v>
      </c>
      <c r="S18" s="196">
        <v>41</v>
      </c>
      <c r="T18" s="196">
        <v>39</v>
      </c>
      <c r="U18" s="196">
        <v>38</v>
      </c>
      <c r="V18" s="196">
        <v>42</v>
      </c>
      <c r="W18" s="196">
        <v>3</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39</v>
      </c>
      <c r="BA18" s="139">
        <f t="shared" si="15"/>
        <v>38</v>
      </c>
      <c r="BB18" s="139">
        <f t="shared" si="15"/>
        <v>42</v>
      </c>
      <c r="BC18" s="135">
        <f>IF(ISNUMBER(W18),W18," - ")</f>
        <v>3</v>
      </c>
      <c r="BD18" s="136">
        <f>IF(ISNUMBER(BA18/AZ18),BA18/AZ18," - ")</f>
        <v>0.97435897435897434</v>
      </c>
      <c r="BE18" s="137">
        <f>IF(ISNUMBER(BB18/BA18),BB18/BA18, " - ")</f>
        <v>1.1052631578947369</v>
      </c>
      <c r="BF18" s="137">
        <f>IF(ISNUMBER(BC18/BA18),BC18/BA18, " - ")</f>
        <v>7.8947368421052627E-2</v>
      </c>
      <c r="BG18" s="209">
        <f>IF(ISNUMBER((AY18+AZ18)/BA18),(AY18+AZ18)/BA18," - ")</f>
        <v>2.1052631578947367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559</v>
      </c>
      <c r="J23" s="197">
        <f t="shared" si="21"/>
        <v>601</v>
      </c>
      <c r="K23" s="197">
        <f t="shared" si="21"/>
        <v>617</v>
      </c>
      <c r="L23" s="197">
        <f t="shared" si="21"/>
        <v>541</v>
      </c>
      <c r="M23" s="197">
        <f t="shared" si="21"/>
        <v>55</v>
      </c>
      <c r="N23" s="197">
        <f t="shared" si="21"/>
        <v>377</v>
      </c>
      <c r="O23" s="197">
        <f t="shared" si="21"/>
        <v>33</v>
      </c>
      <c r="P23" s="197">
        <f t="shared" si="21"/>
        <v>27</v>
      </c>
      <c r="Q23" s="197">
        <f t="shared" si="21"/>
        <v>34</v>
      </c>
      <c r="R23" s="197">
        <f t="shared" si="21"/>
        <v>90</v>
      </c>
      <c r="S23" s="197">
        <f t="shared" si="21"/>
        <v>594</v>
      </c>
      <c r="T23" s="197">
        <f t="shared" si="21"/>
        <v>488</v>
      </c>
      <c r="U23" s="197">
        <f t="shared" si="21"/>
        <v>481</v>
      </c>
      <c r="V23" s="197">
        <f t="shared" si="21"/>
        <v>601</v>
      </c>
      <c r="W23" s="197">
        <f t="shared" si="21"/>
        <v>68</v>
      </c>
      <c r="X23" s="197">
        <f t="shared" si="21"/>
        <v>265</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594</v>
      </c>
      <c r="AZ23" s="197">
        <f>SUBTOTAL(9,AZ15:AZ22)</f>
        <v>488</v>
      </c>
      <c r="BA23" s="197">
        <f>SUBTOTAL(9,BA15:BA22)</f>
        <v>481</v>
      </c>
      <c r="BB23" s="197">
        <f>SUBTOTAL(9,BB15:BB22)</f>
        <v>601</v>
      </c>
      <c r="BC23" s="197">
        <f>SUBTOTAL(9,BC15:BC22)</f>
        <v>68</v>
      </c>
      <c r="BD23" s="219">
        <f>IF(ISNUMBER(BA23/AZ23),BA23/AZ23," - ")</f>
        <v>0.98565573770491799</v>
      </c>
      <c r="BE23" s="220">
        <f>IF(ISNUMBER(BB23/BA23),BB23/BA23, " - ")</f>
        <v>1.2494802494802495</v>
      </c>
      <c r="BF23" s="220">
        <f>IF(ISNUMBER(BC23/BA23),BC23/BA23, " - ")</f>
        <v>0.14137214137214138</v>
      </c>
      <c r="BG23" s="221">
        <f>IF(ISNUMBER((AY23+AZ23)/BA23),(AY23+AZ23)/BA23," - ")</f>
        <v>2.2494802494802495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1456</v>
      </c>
      <c r="J31" s="144">
        <f t="shared" si="36"/>
        <v>989</v>
      </c>
      <c r="K31" s="144">
        <f t="shared" si="36"/>
        <v>997</v>
      </c>
      <c r="L31" s="144">
        <f t="shared" si="36"/>
        <v>1446</v>
      </c>
      <c r="M31" s="144">
        <f t="shared" si="36"/>
        <v>118</v>
      </c>
      <c r="N31" s="144">
        <f t="shared" si="36"/>
        <v>488</v>
      </c>
      <c r="O31" s="144">
        <f t="shared" si="36"/>
        <v>320</v>
      </c>
      <c r="P31" s="144">
        <f t="shared" si="36"/>
        <v>174</v>
      </c>
      <c r="Q31" s="144">
        <f t="shared" si="36"/>
        <v>72</v>
      </c>
      <c r="R31" s="144">
        <f t="shared" si="36"/>
        <v>2164</v>
      </c>
      <c r="S31" s="144">
        <f t="shared" si="36"/>
        <v>1501</v>
      </c>
      <c r="T31" s="144">
        <f t="shared" si="36"/>
        <v>973</v>
      </c>
      <c r="U31" s="144">
        <f t="shared" si="36"/>
        <v>928</v>
      </c>
      <c r="V31" s="144">
        <f t="shared" si="36"/>
        <v>1508</v>
      </c>
      <c r="W31" s="144">
        <f t="shared" si="36"/>
        <v>149</v>
      </c>
      <c r="X31" s="144">
        <f t="shared" si="36"/>
        <v>431</v>
      </c>
      <c r="Y31" s="144">
        <f t="shared" si="36"/>
        <v>38</v>
      </c>
      <c r="Z31" s="144">
        <f t="shared" si="36"/>
        <v>132</v>
      </c>
      <c r="AA31" s="144">
        <f t="shared" si="36"/>
        <v>48</v>
      </c>
      <c r="AB31" s="144">
        <f t="shared" si="36"/>
        <v>122</v>
      </c>
      <c r="AC31" s="144">
        <f t="shared" si="36"/>
        <v>0</v>
      </c>
      <c r="AD31" s="144">
        <f t="shared" si="36"/>
        <v>6</v>
      </c>
      <c r="AE31" s="144">
        <f t="shared" si="36"/>
        <v>6</v>
      </c>
      <c r="AF31" s="144">
        <f t="shared" si="36"/>
        <v>0</v>
      </c>
      <c r="AG31" s="144">
        <f t="shared" si="36"/>
        <v>36</v>
      </c>
      <c r="AH31" s="144">
        <f t="shared" si="36"/>
        <v>40</v>
      </c>
      <c r="AI31" s="144">
        <f t="shared" si="36"/>
        <v>35</v>
      </c>
      <c r="AJ31" s="144">
        <f t="shared" si="36"/>
        <v>41</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1537</v>
      </c>
      <c r="AZ31" s="144">
        <f>SUBTOTAL(9,AZ9:AZ30)</f>
        <v>1013</v>
      </c>
      <c r="BA31" s="144">
        <f>SUBTOTAL(9,BA9:BA30)</f>
        <v>963</v>
      </c>
      <c r="BB31" s="144">
        <f>SUBTOTAL(9,BB9:BB30)</f>
        <v>1549</v>
      </c>
      <c r="BC31" s="145">
        <f>SUBTOTAL(9,BC9:BC30)</f>
        <v>235</v>
      </c>
      <c r="BD31" s="227">
        <f>IF(ISNUMBER(BA31/AZ31),BA31/AZ31," - ")</f>
        <v>0.95064165844027637</v>
      </c>
      <c r="BE31" s="224">
        <f>IF(ISNUMBER(BB31/BA31),BB31/BA31, " - ")</f>
        <v>1.6085150571131879</v>
      </c>
      <c r="BF31" s="224">
        <f>IF(ISNUMBER(BC31/BA31),BC31/BA31, " - ")</f>
        <v>0.24402907580477673</v>
      </c>
      <c r="BG31" s="145">
        <f>IF(ISNUMBER((AY31+AZ31)/BA31),(AY31+AZ31)/BA31," - ")</f>
        <v>2.64797507788162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f3pjJ/9PYVZ/CUKs8oDx4OkKJBUlYO/0DBPXuUn5LrzcMEsTYe+qXSA/NS5uVrIJzW0oz6T4yXR6tndp1C3Q==" saltValue="3beXptd6qFh1rE6TWGym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gbAW7VMAqfs1QuHh+kyngvb6ojsAiVTB4TPfkYEPyBxLsXxtDku2RfeVxo2LyEn/PcVF+9WyKFhSWVo3zPhw==" saltValue="TbuI4NkrE8YDwwKJou0t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VILLANUEVA DE LA SERENA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132</v>
      </c>
      <c r="O12" s="549"/>
      <c r="P12" s="549"/>
      <c r="Q12" s="547">
        <f>IF(ISNUMBER(Datos!P12),Datos!P12,0)</f>
        <v>147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122</v>
      </c>
      <c r="AI12" s="549" t="str">
        <f>IF(ISNUMBER(Datos!CD12),Datos!CD12,"-")</f>
        <v>-</v>
      </c>
      <c r="AJ12" s="549" t="str">
        <f>IF(ISNUMBER(Datos!EN12),Datos!EN12," - ")</f>
        <v xml:space="preserve"> - </v>
      </c>
      <c r="AK12" s="549"/>
      <c r="AL12" s="550"/>
      <c r="AM12" s="766">
        <f>IF(ISNUMBER(Datos!R12),Datos!R12," - ")</f>
        <v>2056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111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0.82432432432432434</v>
      </c>
      <c r="BH12" s="764">
        <f>IF(ISNUMBER(((IF(J_V="SI",Datos!L12/Datos!K12,(Datos!L12+Datos!AB12)/(Datos!K12+Datos!AA12)))*11)/factor_trimestre),((IF(J_V="SI",Datos!L12/Datos!K12,(Datos!L12+Datos!AB12)/(Datos!K12+Datos!AA12)))*11)/factor_trimestre," - ")</f>
        <v>7.1873536299765819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5.5983564458140726E-2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147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38</v>
      </c>
      <c r="AD14" s="1198">
        <f t="shared" si="2"/>
        <v>0</v>
      </c>
      <c r="AE14" s="1198">
        <f t="shared" si="2"/>
        <v>0</v>
      </c>
      <c r="AF14" s="1198">
        <f t="shared" si="2"/>
        <v>4</v>
      </c>
      <c r="AG14" s="1198">
        <f t="shared" si="2"/>
        <v>0</v>
      </c>
      <c r="AH14" s="1198">
        <f t="shared" si="2"/>
        <v>122</v>
      </c>
      <c r="AI14" s="1198">
        <f t="shared" si="2"/>
        <v>0</v>
      </c>
      <c r="AJ14" s="1198">
        <f t="shared" si="2"/>
        <v>0</v>
      </c>
      <c r="AK14" s="1198">
        <f t="shared" si="2"/>
        <v>0</v>
      </c>
      <c r="AL14" s="1198">
        <f t="shared" si="2"/>
        <v>0</v>
      </c>
      <c r="AM14" s="1198">
        <f t="shared" si="2"/>
        <v>2074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111</v>
      </c>
      <c r="BE14" s="1198">
        <f t="shared" si="2"/>
        <v>0</v>
      </c>
      <c r="BF14" s="1198">
        <f t="shared" si="2"/>
        <v>0</v>
      </c>
      <c r="BG14" s="1198">
        <f>IF(ISNUMBER(Datos!K14/Datos!J14),Datos!K14/Datos!J14," - ")</f>
        <v>0.97938144329896903</v>
      </c>
      <c r="BH14" s="1202">
        <f>IF(ISNUMBER(((Datos!L14/Datos!K14)*11)/factor_trimestre),((Datos!L14/Datos!K14)*11)/factor_trimestre," - ")</f>
        <v>7.1447368421052637</v>
      </c>
      <c r="BI14" s="1198">
        <f>IF(ISNUMBER('Resol  Asuntos'!D14/NºAsuntos!G14),'Resol  Asuntos'!D14/NºAsuntos!G14," - ")</f>
        <v>0.14719626168224298</v>
      </c>
      <c r="BJ14" s="1198" t="str">
        <f>IF(ISNUMBER(Datos!CI14/Datos!CJ14),Datos!CI14/Datos!CJ14," - ")</f>
        <v xml:space="preserve"> - </v>
      </c>
      <c r="BK14" s="1198">
        <f>SUBTOTAL(9,BK8:BK13)</f>
        <v>0</v>
      </c>
      <c r="BL14" s="1198">
        <f>IF(ISNUMBER((I14-AB14+L14)/(F14)),(I14-AB14+L14)/(F14)," - ")</f>
        <v>-0.33333333333333331</v>
      </c>
      <c r="BM14" s="1203">
        <f>SUBTOTAL(9,BM9:BM13)</f>
        <v>5.5983564458140726E-2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529</v>
      </c>
      <c r="G17" s="743">
        <f>IF(ISNUMBER(IF(D_I="SI",Datos!I17,Datos!I17+Datos!AC17)),IF(D_I="SI",Datos!I17,Datos!I17+Datos!AC17)," - ")</f>
        <v>531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579</v>
      </c>
      <c r="AC17" s="240">
        <f>IF(ISNUMBER(Datos!Q17),Datos!Q17," - ")</f>
        <v>34</v>
      </c>
      <c r="AD17" s="374"/>
      <c r="AE17" s="562"/>
      <c r="AF17" s="741">
        <f>IF(ISNUMBER(IF(D_I="SI",Datos!L17,Datos!L17+Datos!AF17)),IF(D_I="SI",Datos!L17,Datos!L17+Datos!AF17)," - ")</f>
        <v>516</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360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1.0229681978798586</v>
      </c>
      <c r="BH17" s="764">
        <f>IF(ISNUMBER(((IF(D_I="SI",Datos!L17/Datos!K17,(Datos!L17+Datos!AF17)/(Datos!K17+Datos!AE17)))*11)/factor_trimestre),((IF(D_I="SI",Datos!L17/Datos!K17,(Datos!L17+Datos!AF17)/(Datos!K17+Datos!AE17)))*11)/factor_trimestre," - ")</f>
        <v>2.6735751295336785</v>
      </c>
      <c r="BI17" s="266">
        <f>IF(ISNUMBER('Resol  Asuntos'!D17/NºAsuntos!G17),'Resol  Asuntos'!D17/NºAsuntos!G17," - ")</f>
        <v>9.1537132987910191E-2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25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1.0857142857142856</v>
      </c>
      <c r="BH18" s="764">
        <f>IF(ISNUMBER(((IF(D_I="SI",Datos!L18/Datos!K18,(Datos!L18+Datos!AF18)/(Datos!K18+Datos!AE18)))*11)/factor_trimestre),((IF(D_I="SI",Datos!L18/Datos!K18,(Datos!L18+Datos!AF18)/(Datos!K18+Datos!AE18)))*11)/factor_trimestre," - ")</f>
        <v>1.9736842105263159</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529</v>
      </c>
      <c r="G23" s="1197">
        <f>SUBTOTAL(9,G16:G22)</f>
        <v>559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617</v>
      </c>
      <c r="AC23" s="1198">
        <f t="shared" si="5"/>
        <v>34</v>
      </c>
      <c r="AD23" s="1198">
        <f t="shared" si="5"/>
        <v>0</v>
      </c>
      <c r="AE23" s="1198">
        <f t="shared" si="5"/>
        <v>0</v>
      </c>
      <c r="AF23" s="1198">
        <f t="shared" si="5"/>
        <v>541</v>
      </c>
      <c r="AG23" s="1198">
        <f t="shared" si="5"/>
        <v>0</v>
      </c>
      <c r="AH23" s="1198">
        <f t="shared" si="5"/>
        <v>0</v>
      </c>
      <c r="AI23" s="1198">
        <f t="shared" si="5"/>
        <v>0</v>
      </c>
      <c r="AJ23" s="1198">
        <f t="shared" si="5"/>
        <v>0</v>
      </c>
      <c r="AK23" s="1198">
        <f t="shared" si="5"/>
        <v>0</v>
      </c>
      <c r="AL23" s="1198">
        <f t="shared" si="5"/>
        <v>0</v>
      </c>
      <c r="AM23" s="1198">
        <f t="shared" si="5"/>
        <v>90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377</v>
      </c>
      <c r="BE23" s="1198">
        <f t="shared" si="5"/>
        <v>0</v>
      </c>
      <c r="BF23" s="1198">
        <f t="shared" si="5"/>
        <v>0</v>
      </c>
      <c r="BG23" s="1198">
        <f>IF(ISNUMBER(Datos!K23/Datos!J23),Datos!K23/Datos!J23," - ")</f>
        <v>1.0266222961730449</v>
      </c>
      <c r="BH23" s="1202">
        <f>IF(ISNUMBER(((Datos!L23/Datos!K23)*11)/factor_trimestre),((Datos!L23/Datos!K23)*11)/factor_trimestre," - ")</f>
        <v>2.6304700162074557</v>
      </c>
      <c r="BI23" s="1198">
        <f>SUBTOTAL(9,BI16:BI22)</f>
        <v>0.14416871193527861</v>
      </c>
      <c r="BJ23" s="1198">
        <f>SUBTOTAL(9,BJ16:BJ22)</f>
        <v>0</v>
      </c>
      <c r="BK23" s="1198">
        <f>SUBTOTAL(9,BK16:BK22)</f>
        <v>0</v>
      </c>
      <c r="BL23" s="1198">
        <f>IF(ISNUMBER((I23-AB23+L23)/(F23)),(I23-AB23+L23)/(F23)," - ")</f>
        <v>-1.166351606805293</v>
      </c>
      <c r="BM23" s="1205">
        <f>IF(ISNUMBER((Datos!P23-Datos!Q23)/(Datos!R23-Datos!P23+Datos!Q23)),(Datos!P23-Datos!Q23)/(Datos!R23-Datos!P23+Datos!Q23)," - ")</f>
        <v>-7.2164948453608241E-2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532</v>
      </c>
      <c r="G31" s="1117">
        <f t="shared" si="18"/>
        <v>562</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174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618</v>
      </c>
      <c r="AC31" s="1118">
        <f t="shared" si="19"/>
        <v>72</v>
      </c>
      <c r="AD31" s="1118">
        <f t="shared" si="19"/>
        <v>0</v>
      </c>
      <c r="AE31" s="1118">
        <f t="shared" si="19"/>
        <v>0</v>
      </c>
      <c r="AF31" s="1125">
        <f t="shared" si="19"/>
        <v>545</v>
      </c>
      <c r="AG31" s="1125">
        <f t="shared" si="19"/>
        <v>0</v>
      </c>
      <c r="AH31" s="1125">
        <f t="shared" si="19"/>
        <v>122</v>
      </c>
      <c r="AI31" s="1125">
        <f t="shared" si="19"/>
        <v>0</v>
      </c>
      <c r="AJ31" s="1118">
        <f t="shared" si="19"/>
        <v>0</v>
      </c>
      <c r="AK31" s="1125">
        <f t="shared" si="19"/>
        <v>0</v>
      </c>
      <c r="AL31" s="1125">
        <f t="shared" si="19"/>
        <v>0</v>
      </c>
      <c r="AM31" s="1125">
        <f t="shared" si="19"/>
        <v>2164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v>
      </c>
      <c r="BD31" s="1117">
        <f t="shared" si="19"/>
        <v>488</v>
      </c>
      <c r="BE31" s="1117">
        <f t="shared" si="19"/>
        <v>0</v>
      </c>
      <c r="BF31" s="1127">
        <f t="shared" si="19"/>
        <v>0</v>
      </c>
      <c r="BG31" s="1223">
        <f>IF(ISNUMBER(Datos!K31/Datos!J31),Datos!K31/Datos!J31," - ")</f>
        <v>1.0080889787664307</v>
      </c>
      <c r="BH31" s="1223">
        <f>IF(ISNUMBER(((Datos!L31/Datos!K31)*11)/factor_trimestre),((Datos!L31/Datos!K31)*11)/factor_trimestre," - ")</f>
        <v>4.3510531594784361</v>
      </c>
      <c r="BI31" s="1103">
        <f>IF(ISNUMBER(Datos!J31/Datos!I31),Datos!J31/Datos!I31," - ")</f>
        <v>0.67925824175824179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-1.1616541353383458</v>
      </c>
      <c r="BM31" s="1188">
        <f>IF(ISNUMBER((Datos!P31-Datos!Q31+R31)/(Datos!R31-Datos!P31+Datos!Q31-R31)),(Datos!P31-Datos!Q31+R31)/(Datos!R31-Datos!P31+Datos!Q31-R31)," - ")</f>
        <v>4.9466537342386034E-2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272.40313263005379</v>
      </c>
      <c r="G33" s="674">
        <f>IF(ISNUMBER(STDEV(G8:G30)),STDEV(G8:G30),"-")</f>
        <v>262.92004940847016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288.42495103744471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30.914628992020681</v>
      </c>
      <c r="BD33" s="673"/>
      <c r="BE33" s="673">
        <f>IF(ISNUMBER(STDEV(BE8:BE30)),STDEV(BE8:BE30),"-")</f>
        <v>0</v>
      </c>
      <c r="BF33" s="678">
        <f>IF(ISNUMBER(STDEV(BF8:BF30)),STDEV(BF8:BF30),"-")</f>
        <v>0</v>
      </c>
      <c r="BG33" s="1052">
        <f>IF(ISNUMBER(STDEV(BG8:BG30)),STDEV(BG8:BG30),"-")</f>
        <v>0.21790767026009086</v>
      </c>
      <c r="BH33" s="1058">
        <f>IF(ISNUMBER(STDEV(BH8:BH30)),STDEV(BH8:BH30),"-")</f>
        <v>3.9089160758083628</v>
      </c>
      <c r="BI33" s="273">
        <f>IF(ISNUMBER(STDEV(BI8:BI30)),STDEV(BI8:BI30),"-")</f>
        <v>4.5380204787413572E-2</v>
      </c>
      <c r="BJ33" s="244" t="str">
        <f>IF(ISNUMBER(BL33/BM33),BL33/BM33," - ")</f>
        <v xml:space="preserve"> - </v>
      </c>
      <c r="BK33" s="709"/>
      <c r="BL33" s="681">
        <f>IF(ISNUMBER(STDEV(BL8:BL30)),STDEV(BL8:BL30),"-")</f>
        <v>0.5890328700243328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PwrwAOBLkx7HPcOa9M0hrfr4R3rag+5t/0/EUDDMF2xhSVt3sFN7zbANnTfkLV6nn/TnvlsYpcs3tloEUDutg==" saltValue="LtDytYg5c3VDqFLYPJHl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VILLANUEVA DE LA SERENA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2056</v>
      </c>
      <c r="AF12" s="693" t="str">
        <f>IF(ISNUMBER(Datos!BV12),Datos!BV12," - ")</f>
        <v xml:space="preserve"> - </v>
      </c>
      <c r="AG12" s="552" t="str">
        <f>IF(ISNUMBER(Datos!DV12),Datos!DV12," - ")</f>
        <v xml:space="preserve"> - </v>
      </c>
      <c r="AH12" s="553"/>
      <c r="AI12" s="554"/>
      <c r="AJ12" s="552">
        <f>IF(ISNUMBER(Datos!M12),Datos!M12," - ")</f>
        <v>62</v>
      </c>
      <c r="AK12" s="693">
        <f>IF(ISNUMBER(Datos!N12),Datos!N12," - ")</f>
        <v>111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7.1873536299765819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5.5983564458140726E-2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38</v>
      </c>
      <c r="AA14" s="1199">
        <f t="shared" si="3"/>
        <v>4</v>
      </c>
      <c r="AB14" s="1199">
        <f t="shared" si="3"/>
        <v>0</v>
      </c>
      <c r="AC14" s="1199">
        <f t="shared" si="3"/>
        <v>0</v>
      </c>
      <c r="AD14" s="1199">
        <f t="shared" si="3"/>
        <v>0</v>
      </c>
      <c r="AE14" s="1199">
        <f t="shared" si="3"/>
        <v>2074</v>
      </c>
      <c r="AF14" s="1211">
        <f t="shared" si="3"/>
        <v>0</v>
      </c>
      <c r="AG14" s="1211">
        <f t="shared" si="3"/>
        <v>0</v>
      </c>
      <c r="AH14" s="1211">
        <f t="shared" si="3"/>
        <v>0</v>
      </c>
      <c r="AI14" s="1211">
        <f t="shared" si="3"/>
        <v>0</v>
      </c>
      <c r="AJ14" s="1211">
        <f t="shared" si="3"/>
        <v>63</v>
      </c>
      <c r="AK14" s="1211">
        <f t="shared" si="3"/>
        <v>111</v>
      </c>
      <c r="AL14" s="1211">
        <f t="shared" si="3"/>
        <v>0</v>
      </c>
      <c r="AM14" s="1211">
        <f t="shared" si="3"/>
        <v>0</v>
      </c>
      <c r="AN14" s="1211">
        <f t="shared" si="3"/>
        <v>0</v>
      </c>
      <c r="AO14" s="1203">
        <f>IF(ISNUMBER(((NºAsuntos!I14/NºAsuntos!G14)*11)/factor_trimestre),((NºAsuntos!I14/NºAsuntos!G14)*11)/factor_trimestre," - ")</f>
        <v>7.1985981308411215</v>
      </c>
      <c r="AP14" s="1213" t="str">
        <f>IF(ISNUMBER(Datos!CI14/Datos!CJ14),Datos!CI14/Datos!CJ14," - ")</f>
        <v xml:space="preserve"> - </v>
      </c>
      <c r="AQ14" s="1236">
        <f t="shared" ref="AQ14:AV14" si="4">SUBTOTAL(9,AQ9:AQ13)</f>
        <v>0</v>
      </c>
      <c r="AR14" s="1236">
        <f t="shared" si="4"/>
        <v>5.5983564458140726E-2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529</v>
      </c>
      <c r="G17" s="552">
        <f>IF(ISNUMBER(IF(D_I="SI",Datos!I17,Datos!I17+Datos!AC17)),IF(D_I="SI",Datos!I17,Datos!I17+Datos!AC17)," - ")</f>
        <v>531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579</v>
      </c>
      <c r="Z17" s="805">
        <f>IF(ISNUMBER(Datos!Q17),Datos!Q17," - ")</f>
        <v>34</v>
      </c>
      <c r="AA17" s="551">
        <f>IF(ISNUMBER(IF(D_I="SI",Datos!L17,Datos!L17+Datos!AF17)),IF(D_I="SI",Datos!L17,Datos!L17+Datos!AF17)," - ")</f>
        <v>516</v>
      </c>
      <c r="AB17" s="549"/>
      <c r="AC17" s="549"/>
      <c r="AD17" s="563"/>
      <c r="AE17" s="563">
        <f>IF(ISNUMBER(Datos!R17),Datos!R17," - ")</f>
        <v>89</v>
      </c>
      <c r="AF17" s="693" t="str">
        <f>IF(ISNUMBER(Datos!BV17),Datos!BV17," - ")</f>
        <v xml:space="preserve"> - </v>
      </c>
      <c r="AG17" s="552"/>
      <c r="AH17" s="553"/>
      <c r="AI17" s="554"/>
      <c r="AJ17" s="552">
        <f>IF(ISNUMBER(Datos!M17),Datos!M17," - ")</f>
        <v>53</v>
      </c>
      <c r="AK17" s="693">
        <f>IF(ISNUMBER(Datos!N17),Datos!N17," - ")</f>
        <v>360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2.6735751295336785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25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1.9736842105263159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529</v>
      </c>
      <c r="G23" s="1197">
        <f>SUBTOTAL(9,G16:G22)</f>
        <v>559</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617</v>
      </c>
      <c r="Z23" s="1240">
        <f t="shared" si="6"/>
        <v>34</v>
      </c>
      <c r="AA23" s="1240">
        <f t="shared" si="6"/>
        <v>541</v>
      </c>
      <c r="AB23" s="1240">
        <f t="shared" si="6"/>
        <v>0</v>
      </c>
      <c r="AC23" s="1240">
        <f t="shared" si="6"/>
        <v>0</v>
      </c>
      <c r="AD23" s="1240">
        <f t="shared" si="6"/>
        <v>0</v>
      </c>
      <c r="AE23" s="1240">
        <f t="shared" si="6"/>
        <v>90</v>
      </c>
      <c r="AF23" s="1240">
        <f t="shared" si="6"/>
        <v>0</v>
      </c>
      <c r="AG23" s="1240">
        <f t="shared" si="6"/>
        <v>0</v>
      </c>
      <c r="AH23" s="1240">
        <f t="shared" si="6"/>
        <v>0</v>
      </c>
      <c r="AI23" s="1240">
        <f t="shared" si="6"/>
        <v>0</v>
      </c>
      <c r="AJ23" s="1240">
        <f t="shared" si="6"/>
        <v>55</v>
      </c>
      <c r="AK23" s="1240">
        <f t="shared" si="6"/>
        <v>377</v>
      </c>
      <c r="AL23" s="1240">
        <f t="shared" si="6"/>
        <v>0</v>
      </c>
      <c r="AM23" s="1240">
        <f t="shared" si="6"/>
        <v>0</v>
      </c>
      <c r="AN23" s="1240">
        <f t="shared" si="6"/>
        <v>0</v>
      </c>
      <c r="AO23" s="1242">
        <f>IF(ISNUMBER(((NºAsuntos!I23/NºAsuntos!G23)*11)/factor_trimestre),((NºAsuntos!I23/NºAsuntos!G23)*11)/factor_trimestre," - ")</f>
        <v>2.6304700162074557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532</v>
      </c>
      <c r="G31" s="1117">
        <f t="shared" si="12"/>
        <v>562</v>
      </c>
      <c r="H31" s="1118">
        <f t="shared" si="12"/>
        <v>0</v>
      </c>
      <c r="I31" s="1117">
        <f t="shared" si="12"/>
        <v>0</v>
      </c>
      <c r="J31" s="1119">
        <f t="shared" si="12"/>
        <v>0</v>
      </c>
      <c r="K31" s="1117">
        <f t="shared" si="12"/>
        <v>0</v>
      </c>
      <c r="L31" s="1120">
        <f t="shared" si="12"/>
        <v>0</v>
      </c>
      <c r="M31" s="1117">
        <f t="shared" si="12"/>
        <v>0</v>
      </c>
      <c r="N31" s="1118">
        <f t="shared" si="12"/>
        <v>174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618</v>
      </c>
      <c r="Z31" s="1124">
        <f t="shared" si="13"/>
        <v>72</v>
      </c>
      <c r="AA31" s="1125">
        <f t="shared" si="13"/>
        <v>545</v>
      </c>
      <c r="AB31" s="1125">
        <f t="shared" si="13"/>
        <v>0</v>
      </c>
      <c r="AC31" s="1125">
        <f t="shared" si="13"/>
        <v>0</v>
      </c>
      <c r="AD31" s="1126">
        <f t="shared" si="13"/>
        <v>0</v>
      </c>
      <c r="AE31" s="1126">
        <f t="shared" si="13"/>
        <v>2164</v>
      </c>
      <c r="AF31" s="1127">
        <f t="shared" si="13"/>
        <v>0</v>
      </c>
      <c r="AG31" s="1128">
        <f t="shared" si="13"/>
        <v>0</v>
      </c>
      <c r="AH31" s="1129">
        <f t="shared" si="13"/>
        <v>0</v>
      </c>
      <c r="AI31" s="1127">
        <f t="shared" si="13"/>
        <v>0</v>
      </c>
      <c r="AJ31" s="1117">
        <f t="shared" si="13"/>
        <v>118</v>
      </c>
      <c r="AK31" s="1117">
        <f t="shared" si="13"/>
        <v>488</v>
      </c>
      <c r="AL31" s="1117">
        <f t="shared" si="13"/>
        <v>0</v>
      </c>
      <c r="AM31" s="1130">
        <f t="shared" si="13"/>
        <v>0</v>
      </c>
      <c r="AN31" s="1120">
        <f>IF(ISNUMBER(Datos!K31/Datos!J31),Datos!K31/Datos!J31," - ")</f>
        <v>1.0080889787664307</v>
      </c>
      <c r="AO31" s="1120">
        <f>IF(ISNUMBER(FIND("06",Criterios!A8,1)),(IF(ISNUMBER(((Datos!R31/Datos!Q31)*11)/factor_trimestre),((Datos!R31/Datos!Q31)*11)/factor_trimestre," - ")),(IF(ISNUMBER(((Datos!L31/Datos!K31)*11)/factor_trimestre),((Datos!L31/Datos!K31)*11)/factor_trimestre," - ")))</f>
        <v>4.3510531594784361</v>
      </c>
      <c r="AP31" s="1131" t="str">
        <f>IF(ISNUMBER(Datos!CI31/Datos!CJ31),Datos!CI31/Datos!CJ31," - ")</f>
        <v xml:space="preserve"> - </v>
      </c>
      <c r="AQ31" s="1131">
        <f>IF(OR(ISNUMBER(FIND("01",Criterios!A8,1)),ISNUMBER(FIND("02",Criterios!A8,1)),ISNUMBER(FIND("03",Criterios!A8,1)),ISNUMBER(FIND("04",Criterios!A8,1))),(J31-Y31+K31)/(F31-K31),(I31-Y31+K31)/(F31-K31))</f>
        <v>-1.1616541353383458</v>
      </c>
      <c r="AR31" s="1131">
        <f>IF(ISNUMBER((Datos!P31-Datos!Q31+O31)/(Datos!R31-Datos!P31+Datos!Q31-O31)),(Datos!P31-Datos!Q31+O31)/(Datos!R31-Datos!P31+Datos!Q31-O31)," - ")</f>
        <v>4.9466537342386034E-2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272.40313263005379</v>
      </c>
      <c r="G33" s="674">
        <f>IF(ISNUMBER(STDEV(G8:G30)),STDEV(G8:G30),"-")</f>
        <v>262.92004940847016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30.914628992020681</v>
      </c>
      <c r="AK33" s="276"/>
      <c r="AL33" s="276">
        <f>IF(ISNUMBER(STDEV(AL8:AL30)),STDEV(AL8:AL30),"-")</f>
        <v>0</v>
      </c>
      <c r="AM33" s="278">
        <f>IF(ISNUMBER(STDEV(AM8:AM30)),STDEV(AM8:AM30),"-")</f>
        <v>0</v>
      </c>
      <c r="AN33" s="660">
        <f>IF(ISNUMBER(STDEV(AN8:AN30)),STDEV(AN8:AN30),"-")</f>
        <v>0</v>
      </c>
      <c r="AO33" s="661">
        <f>IF(ISNUMBER(STDEV(AO8:AO30)),STDEV(AO8:AO30),"-")</f>
        <v>3.9132280460474731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9TrK+oV0cGBQczFHq2MT1sWUVnnVEbXYad8lnigxYjTjEA6Sbgd5G7HTB8V9fpYFSDM+RSIYOKYDgihwIUyXA==" saltValue="puh36+6UHvglSOFjUb22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Agg0ljVC/xLIa5pbh8KtmEOlFOJT/B4RGsVB5oqxlI9gjNfn/kTJ1VHdsUBk07WQmDtKgN32htLAPyUzApiNA==" saltValue="lJqeTW9rIa8FfP8Y5djW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5Sm0ihRBHuesK7HoiK14RqDS95RgUifug0m/6bgLIk4fmrheUG9WeDBkfoujAgozi1u3O1aFuOS8UwFKhl0w==" saltValue="Ti/MIpJKN0V++Piasd4p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VILLANUEVA DE LA SERENA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0.14719626168224298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0.10408347480082357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w34Y9YDQ8AV6SM5kFBe5H67LdU893r9Zr/9rpGslYVdbeS/GYfMkUjttYSBaFqn9yK/hImxUAu5H8tJhV7yvg==" saltValue="b+ooQ/N7sqaNTCTn9NZv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vv0ziLlVuAyQ7m7aCstWcpCQaH7oT1aiLNgE/iOpGG5Dnsg8h3rACTKEf4h+P+kfJjzsAprqkPS848YKeK1Tw==" saltValue="36Mp6e+JS8KEZw9tcAyg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VILLANUEVA DE LA SERENA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932</v>
      </c>
      <c r="D12" s="452">
        <f>IF(ISNUMBER(C12/Datos!BH12),C12/Datos!BH12," - ")</f>
        <v>466</v>
      </c>
      <c r="E12" s="451">
        <f>IF(ISNUMBER(IF(J_V="SI",Datos!J12,Datos!J12+Datos!Z12)),IF(J_V="SI",Datos!J12,Datos!J12+Datos!Z12)," - ")</f>
        <v>518</v>
      </c>
      <c r="F12" s="452">
        <f>IF(ISNUMBER(E12/B12),E12/B12," - ")</f>
        <v>259</v>
      </c>
      <c r="G12" s="451">
        <f>IF(ISNUMBER(IF(J_V="SI",Datos!K12,Datos!K12+Datos!AA12)),IF(J_V="SI",Datos!K12,Datos!K12+Datos!AA12)," - ")</f>
        <v>427</v>
      </c>
      <c r="H12" s="452">
        <f>IF(ISNUMBER(G12/B12),G12/B12," - ")</f>
        <v>213.5</v>
      </c>
      <c r="I12" s="451">
        <f>IF(ISNUMBER(IF(J_V="SI",Datos!L12,Datos!L12+Datos!AB12)),IF(J_V="SI",Datos!L12,Datos!L12+Datos!AB12)," - ")</f>
        <v>1023</v>
      </c>
      <c r="J12" s="452">
        <f>IF(ISNUMBER(I12/B12),I12/B12," - ")</f>
        <v>511.5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935</v>
      </c>
      <c r="D14" s="1147" t="str">
        <f>IF(ISNUMBER(C14/Datos!BI14),C14/Datos!BI14," - ")</f>
        <v xml:space="preserve"> - </v>
      </c>
      <c r="E14" s="1146">
        <f>SUBTOTAL(9,E8:E13)</f>
        <v>520</v>
      </c>
      <c r="F14" s="1147">
        <f>IF(ISNUMBER(E14/B14),E14/B14," - ")</f>
        <v>260</v>
      </c>
      <c r="G14" s="1146">
        <f>SUBTOTAL(9,G8:G13)</f>
        <v>428</v>
      </c>
      <c r="H14" s="1147">
        <f>IF(ISNUMBER(G14/B14),G14/B14," - ")</f>
        <v>214</v>
      </c>
      <c r="I14" s="1146">
        <f>SUBTOTAL(9,I8:I13)</f>
        <v>1027</v>
      </c>
      <c r="J14" s="1147">
        <f>IF(ISNUMBER(I14/B14),I14/B14," - ")</f>
        <v>513.5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531</v>
      </c>
      <c r="D17" s="452">
        <f>IF(ISNUMBER(C17/Datos!BH17),C17/Datos!BH17," - ")</f>
        <v>265.5</v>
      </c>
      <c r="E17" s="451">
        <f>IF(ISNUMBER(IF(D_I="SI",Datos!J17,Datos!J17+Datos!AD17)),IF(D_I="SI",Datos!J17,Datos!J17+Datos!AD17)," - ")</f>
        <v>566</v>
      </c>
      <c r="F17" s="452">
        <f>IF(ISNUMBER(E17/B17),E17/B17," - ")</f>
        <v>283</v>
      </c>
      <c r="G17" s="451">
        <f>IF(ISNUMBER(IF(D_I="SI",Datos!K17,Datos!K17+Datos!AE17)),IF(D_I="SI",Datos!K17,Datos!K17+Datos!AE17)," - ")</f>
        <v>579</v>
      </c>
      <c r="H17" s="452">
        <f>IF(ISNUMBER(G17/B17),G17/B17," - ")</f>
        <v>289.5</v>
      </c>
      <c r="I17" s="451">
        <f>IF(ISNUMBER(IF(D_I="SI",Datos!L17,Datos!L17+Datos!AF17)),IF(D_I="SI",Datos!L17,Datos!L17+Datos!AF17)," - ")</f>
        <v>516</v>
      </c>
      <c r="J17" s="452">
        <f>IF(ISNUMBER(I17/B17),I17/B17," - ")</f>
        <v>258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35</v>
      </c>
      <c r="F18" s="452">
        <f>IF(ISNUMBER(E18/B18),E18/B18," - ")</f>
        <v>35</v>
      </c>
      <c r="G18" s="451">
        <f>IF(ISNUMBER(IF(D_I="SI",Datos!K18,Datos!K18+Datos!AE18)),IF(D_I="SI",Datos!K18,Datos!K18+Datos!AE18)," - ")</f>
        <v>38</v>
      </c>
      <c r="H18" s="452">
        <f>IF(ISNUMBER(G18/B18),G18/B18," - ")</f>
        <v>38</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559</v>
      </c>
      <c r="D23" s="1147" t="str">
        <f>IF(ISNUMBER(C23/Datos!BI23),C23/Datos!BI23," - ")</f>
        <v xml:space="preserve"> - </v>
      </c>
      <c r="E23" s="1146">
        <f>SUBTOTAL(9,E15:E22)</f>
        <v>601</v>
      </c>
      <c r="F23" s="1147">
        <f>IF(ISNUMBER(E23/B23),E23/B23," - ")</f>
        <v>300.5</v>
      </c>
      <c r="G23" s="1146">
        <f>SUBTOTAL(9,G15:G22)</f>
        <v>617</v>
      </c>
      <c r="H23" s="1147">
        <f>IF(ISNUMBER(G23/B23),G23/B23," - ")</f>
        <v>308.5</v>
      </c>
      <c r="I23" s="1146">
        <f>SUBTOTAL(9,I15:I22)</f>
        <v>541</v>
      </c>
      <c r="J23" s="1147">
        <f>IF(ISNUMBER(I23/B23),I23/B23," - ")</f>
        <v>270.5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1494</v>
      </c>
      <c r="D31" s="1085" t="str">
        <f>IF(ISNUMBER(C31/Datos!BI31),C31/Datos!BI31," - ")</f>
        <v xml:space="preserve"> - </v>
      </c>
      <c r="E31" s="1084">
        <f>SUBTOTAL(9,E9:E30)</f>
        <v>1121</v>
      </c>
      <c r="F31" s="1085">
        <f>IF(ISNUMBER(E31/B31),E31/B31," - ")</f>
        <v>560.5</v>
      </c>
      <c r="G31" s="1084">
        <f>SUBTOTAL(9,G9:G30)</f>
        <v>1045</v>
      </c>
      <c r="H31" s="1085">
        <f>IF(ISNUMBER(G31/B31),G31/B31," - ")</f>
        <v>522.5</v>
      </c>
      <c r="I31" s="1084">
        <f>SUBTOTAL(9,I9:I30)</f>
        <v>1568</v>
      </c>
      <c r="J31" s="1085">
        <f>IF(ISNUMBER(I31/B31),I31/B31," - ")</f>
        <v>784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pcHOpMp1Z3If6rJ7H4OvLSeoJWr5mdfH64uJ7X1NF9LPEC1Fd4zWhx62xde2ud1FPvl+ZO1g6DK04oaj7g8Hw==" saltValue="CKRKHV0DEKGEsQ45HVpH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VILLANUEVA DE LA SERENA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111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7.1873536299765819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5.5983564458140726E-2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38</v>
      </c>
      <c r="AE14" s="1257">
        <f t="shared" si="1"/>
        <v>0</v>
      </c>
      <c r="AF14" s="1257">
        <f t="shared" si="1"/>
        <v>4</v>
      </c>
      <c r="AG14" s="1257">
        <f t="shared" si="1"/>
        <v>0</v>
      </c>
      <c r="AH14" s="1257">
        <f t="shared" si="1"/>
        <v>2056</v>
      </c>
      <c r="AI14" s="1257">
        <f t="shared" si="1"/>
        <v>0</v>
      </c>
      <c r="AJ14" s="1257">
        <f t="shared" si="1"/>
        <v>0</v>
      </c>
      <c r="AK14" s="1257">
        <f t="shared" si="1"/>
        <v>0</v>
      </c>
      <c r="AL14" s="1257">
        <f t="shared" si="1"/>
        <v>63</v>
      </c>
      <c r="AM14" s="1257">
        <f t="shared" si="1"/>
        <v>111</v>
      </c>
      <c r="AN14" s="1257">
        <f t="shared" si="1"/>
        <v>0</v>
      </c>
      <c r="AO14" s="1257">
        <f t="shared" si="1"/>
        <v>0</v>
      </c>
      <c r="AP14" s="1262">
        <f>IF(ISNUMBER(((Datos!L14/Datos!K14)*11)/factor_trimestre),((Datos!L14/Datos!K14)*11)/factor_trimestre," - ")</f>
        <v>7.1447368421052637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5.5983564458140726E-2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2.6304700162074557</v>
      </c>
      <c r="AQ23" s="1262">
        <f>IF(ISNUMBER(((Datos!M23/Datos!L23)*11)/factor_trimestre),((Datos!M23/Datos!L23)*11)/factor_trimestre," - ")</f>
        <v>0.30499075785582253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-7.2164948453608241E-2</v>
      </c>
      <c r="AW23" s="1265">
        <f>IF(ISNUMBER((Datos!Q23-Datos!R23)/(Datos!S23-Datos!Q23+Datos!R23)),(Datos!Q23-Datos!R23)/(Datos!S23-Datos!Q23+Datos!R23)," - ")</f>
        <v>-8.615384615384615E-2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38</v>
      </c>
      <c r="AE31" s="1284">
        <f t="shared" si="9"/>
        <v>0</v>
      </c>
      <c r="AF31" s="1285">
        <f t="shared" si="9"/>
        <v>4</v>
      </c>
      <c r="AG31" s="1285">
        <f t="shared" si="9"/>
        <v>0</v>
      </c>
      <c r="AH31" s="1285">
        <f t="shared" si="9"/>
        <v>2056</v>
      </c>
      <c r="AI31" s="1285">
        <f t="shared" si="9"/>
        <v>0</v>
      </c>
      <c r="AJ31" s="1286">
        <f t="shared" si="9"/>
        <v>0</v>
      </c>
      <c r="AK31" s="1286">
        <f t="shared" si="9"/>
        <v>0</v>
      </c>
      <c r="AL31" s="1278">
        <f t="shared" si="9"/>
        <v>63</v>
      </c>
      <c r="AM31" s="1278">
        <f t="shared" si="9"/>
        <v>111</v>
      </c>
      <c r="AN31" s="1278">
        <f t="shared" si="9"/>
        <v>0</v>
      </c>
      <c r="AO31" s="1278">
        <f t="shared" si="9"/>
        <v>0</v>
      </c>
      <c r="AP31" s="1278">
        <f>IF(ISNUMBER(((Datos!L31/Datos!K31)*11)/factor_trimestre),((Datos!L31/Datos!K31)*11)/factor_trimestre," - ")</f>
        <v>4.3510531594784361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4.9466537342386034E-2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32.149650075856187</v>
      </c>
      <c r="AM33" s="1006"/>
      <c r="AN33" s="1006">
        <f>IF(ISNUMBER(STDEV(AN8:AN30)),STDEV(AN8:AN30),"-")</f>
        <v>0</v>
      </c>
      <c r="AO33" s="1012">
        <f>IF(ISNUMBER(STDEV(AO8:AO30)),STDEV(AO8:AO30),"-")</f>
        <v>0</v>
      </c>
      <c r="AP33" s="1065">
        <f>IF(ISNUMBER(STDEV(AP8:AP30)),STDEV(AP8:AP30),"-")</f>
        <v>3.8261038381965089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YMtggjEZaC6bWx/DM3Uta737MIkgO+RObDtH3O7b5IJnigAqZt7DVRwqYqHBibrDBPxVOV0Ubly16mP/6Qh3w==" saltValue="zH/x+KD7Wy4DXhbEgEeB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VILLANUEVA DE LA SERENA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qzUjiXd6ydmUAFE5mHjOw+Ynt0Z3Nzh2VGVJgjjRHhDz6B0KEW1X3xDCWTq1IZFXAHXUQ+uu8ycTWzy9rptMw==" saltValue="Z73ugWp0dwAXhYmSObzj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VILLANUEVA DE LA SERENA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62</v>
      </c>
      <c r="E12" s="452">
        <f t="shared" si="0"/>
        <v>31</v>
      </c>
      <c r="F12" s="451">
        <f>IF(ISNUMBER(Datos!N12),Datos!N12," - ")</f>
        <v>111</v>
      </c>
      <c r="G12" s="452">
        <f t="shared" si="1"/>
        <v>55.5</v>
      </c>
      <c r="H12" s="451">
        <f>IF(ISNUMBER(Datos!O12),Datos!O12," - ")</f>
        <v>287</v>
      </c>
      <c r="I12" s="452">
        <f t="shared" si="2"/>
        <v>143.5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63</v>
      </c>
      <c r="E14" s="1147">
        <f t="shared" si="0"/>
        <v>21</v>
      </c>
      <c r="F14" s="1146">
        <f>SUBTOTAL(9,F9:F13)</f>
        <v>111</v>
      </c>
      <c r="G14" s="1147">
        <f t="shared" si="1"/>
        <v>37</v>
      </c>
      <c r="H14" s="1146">
        <f>SUBTOTAL(9,H9:H13)</f>
        <v>287</v>
      </c>
      <c r="I14" s="1147">
        <f>IF(ISNUMBER(H14/B14),H14/B14," - ")</f>
        <v>95.666666666666671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360</v>
      </c>
      <c r="G17" s="452">
        <f t="shared" si="4"/>
        <v>180</v>
      </c>
      <c r="H17" s="451">
        <f>IF(ISNUMBER(Datos!O17),Datos!O17," - ")</f>
        <v>33</v>
      </c>
      <c r="I17" s="452">
        <f t="shared" si="5"/>
        <v>16.5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377</v>
      </c>
      <c r="G23" s="1147">
        <f t="shared" si="4"/>
        <v>125.66666666666667</v>
      </c>
      <c r="H23" s="1146">
        <f>SUBTOTAL(9,H16:H22)</f>
        <v>33</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118</v>
      </c>
      <c r="E31" s="1085">
        <f>IF(ISNUMBER(D31/B31),D31/B31," - ")</f>
        <v>59</v>
      </c>
      <c r="F31" s="1084">
        <f>SUBTOTAL(9,F8:F30)</f>
        <v>488</v>
      </c>
      <c r="G31" s="1085">
        <f>IF(ISNUMBER(F31/B31),F31/B31," - ")</f>
        <v>244</v>
      </c>
      <c r="H31" s="1084">
        <f>SUBTOTAL(9,H8:H30)</f>
        <v>320</v>
      </c>
      <c r="I31" s="1085">
        <f>IF(ISNUMBER(H31/B31),H31/B31," - ")</f>
        <v>160</v>
      </c>
    </row>
    <row r="34" spans="1:1">
      <c r="A34" s="439" t="str">
        <f>Criterios!A4</f>
        <v>Fecha Informe: 06 may. 2023</v>
      </c>
    </row>
    <row r="39" spans="1:1">
      <c r="A39" s="462"/>
    </row>
  </sheetData>
  <sheetProtection algorithmName="SHA-512" hashValue="W48OTAxjxqW2cdjbfFg5AUgyqx7lNRejyfHvtW0rpeN9uv7fwEKcGXfOoPsSIjCqyCaRQfA/guoHtX6c31ZDDg==" saltValue="TbVeeZh6LbzfK9uMPia1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VILLANUEVA DE LA SERENA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147</v>
      </c>
      <c r="C12" s="489">
        <f>IF(ISNUMBER(Datos!Q12),Datos!Q12," - ")</f>
        <v>38</v>
      </c>
      <c r="D12" s="456">
        <f>IF(ISNUMBER(Datos!R12),Datos!R12," - ")</f>
        <v>2056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147</v>
      </c>
      <c r="C14" s="1150">
        <f>SUBTOTAL(9,C9:C13)</f>
        <v>38</v>
      </c>
      <c r="D14" s="1148">
        <f>SUBTOTAL(9,D9:D13)</f>
        <v>2074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34</v>
      </c>
      <c r="D17" s="456">
        <f>IF(ISNUMBER(Datos!R17),Datos!R17," - ")</f>
        <v>89</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34</v>
      </c>
      <c r="D23" s="1148">
        <f>SUBTOTAL(9,D16:D22)</f>
        <v>90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174</v>
      </c>
      <c r="C31" s="1089">
        <f>SUBTOTAL(9,C8:C30)</f>
        <v>72</v>
      </c>
      <c r="D31" s="1090">
        <f>SUBTOTAL(9,D8:D30)</f>
        <v>2164</v>
      </c>
    </row>
    <row r="32" spans="1:4" ht="7.5" customHeight="1"/>
    <row r="33" spans="1:1" ht="6" customHeight="1"/>
    <row r="34" spans="1:1">
      <c r="A34" s="439" t="str">
        <f>Criterios!A4</f>
        <v>Fecha Informe: 06 may. 2023</v>
      </c>
    </row>
    <row r="39" spans="1:1">
      <c r="A39" s="462"/>
    </row>
  </sheetData>
  <sheetProtection algorithmName="SHA-512" hashValue="qFHu5NVUG9fJrJPBAkhBIauPDkJbL2u7HcJhR+l3Fk4lB5nUAsUU4gMoqhzr0g9cyx7FBPteLTbTKMl5Ec70GA==" saltValue="wVxg+GCYmCppZjMdZ/gW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VILLANUEVA DE LA SERENA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-0.76923076923076927</v>
      </c>
      <c r="C10" s="515">
        <f>IF(ISNUMBER((Datos!J10-Datos!T10)/Datos!T10),(Datos!J10-Datos!T10)/Datos!T10," - ")</f>
        <v>-0.66666666666666663</v>
      </c>
      <c r="D10" s="515">
        <f>IF(ISNUMBER((Datos!K10-Datos!U10)/Datos!U10),(Datos!K10-Datos!U10)/Datos!U10," - ")</f>
        <v>-0.66666666666666663</v>
      </c>
      <c r="E10" s="515">
        <f>IF(ISNUMBER((Datos!L10-Datos!V10)/Datos!V10),(Datos!L10-Datos!V10)/Datos!V10," - ")</f>
        <v>-0.63636363636363635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9.0909090909090953E-2</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-0.21052631578947364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2.1505376344086021E-3</v>
      </c>
      <c r="C12" s="515">
        <f>IF(ISNUMBER(
   IF(J_V="SI",(Datos!J12-Datos!T12)/Datos!T12,(Datos!J12+Datos!Z12-(Datos!T12+Datos!AH12))/(Datos!T12+Datos!AH12))
     ),IF(J_V="SI",(Datos!J12-Datos!T12)/Datos!T12,(Datos!J12+Datos!Z12-(Datos!T12+Datos!AH12))/(Datos!T12+Datos!AH12))," - ")</f>
        <v>-1.9267822736030828E-3</v>
      </c>
      <c r="D12" s="515">
        <f>IF(ISNUMBER(
   IF(J_V="SI",(Datos!K12-Datos!U12)/Datos!U12,(Datos!K12+Datos!AA12-(Datos!U12+Datos!AI12))/(Datos!U12+Datos!AI12))
     ),IF(J_V="SI",(Datos!K12-Datos!U12)/Datos!U12,(Datos!K12+Datos!AA12-(Datos!U12+Datos!AI12))/(Datos!U12+Datos!AI12))," - ")</f>
        <v>-0.10855949895615867</v>
      </c>
      <c r="E12" s="515">
        <f>IF(ISNUMBER(
   IF(J_V="SI",(Datos!L12-Datos!V12)/Datos!V12,(Datos!L12+Datos!AB12-(Datos!V12+Datos!AJ12))/(Datos!V12+Datos!AJ12))
     ),IF(J_V="SI",(Datos!L12-Datos!V12)/Datos!V12,(Datos!L12+Datos!AB12-(Datos!V12+Datos!AJ12))/(Datos!V12+Datos!AJ12))," - ")</f>
        <v>9.1782283884738525E-2</v>
      </c>
      <c r="F12" s="515">
        <f>IF(ISNUMBER((Datos!M12-Datos!W12)/Datos!W12),(Datos!M12-Datos!W12)/Datos!W12," - ")</f>
        <v>-0.21518987341772153</v>
      </c>
      <c r="G12" s="516">
        <f>IF(ISNUMBER((Datos!N12-Datos!X12)/Datos!X12),(Datos!N12-Datos!X12)/Datos!X12," - ")</f>
        <v>-0.32727272727272727</v>
      </c>
      <c r="H12" s="514">
        <f>IF(ISNUMBER(((NºAsuntos!G12/NºAsuntos!E12)-Datos!BD12)/Datos!BD12),((NºAsuntos!G12/NºAsuntos!E12)-Datos!BD12)/Datos!BD12," - ")</f>
        <v>-0.10683857134796587</v>
      </c>
      <c r="I12" s="515">
        <f>IF(ISNUMBER(((NºAsuntos!I12/NºAsuntos!G12)-Datos!BE12)/Datos!BE12),((NºAsuntos!I12/NºAsuntos!G12)-Datos!BE12)/Datos!BE12," - ")</f>
        <v>0.22473937700419164</v>
      </c>
      <c r="J12" s="521">
        <f>IF(ISNUMBER((('Resol  Asuntos'!D12/NºAsuntos!G12)-Datos!BF12)/Datos!BF12),(('Resol  Asuntos'!D12/NºAsuntos!G12)-Datos!BF12)/Datos!BF12," - ")</f>
        <v>-0.57848271946632601</v>
      </c>
      <c r="K12" s="522">
        <f>IF(ISNUMBER((((NºAsuntos!C12+NºAsuntos!E12)/NºAsuntos!G12)-Datos!BG12)/Datos!BG12),(((NºAsuntos!C12+NºAsuntos!E12)/NºAsuntos!G12)-Datos!BG12)/Datos!BG12," - ")</f>
        <v>0.12255403468110947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-8.483563096500531E-3</v>
      </c>
      <c r="C14" s="1152">
        <f>IF(ISNUMBER(
   IF(J_V="SI",(Datos!J14-Datos!T14)/Datos!T14,(Datos!J14+Datos!Z14-(Datos!T14+Datos!AH14))/(Datos!T14+Datos!AH14))
     ),IF(J_V="SI",(Datos!J14-Datos!T14)/Datos!T14,(Datos!J14+Datos!Z14-(Datos!T14+Datos!AH14))/(Datos!T14+Datos!AH14))," - ")</f>
        <v>-9.5238095238095247E-3</v>
      </c>
      <c r="D14" s="1152">
        <f>IF(ISNUMBER(
   IF(J_V="SI",(Datos!K14-Datos!U14)/Datos!U14,(Datos!K14+Datos!AA14-(Datos!U14+Datos!AI14))/(Datos!U14+Datos!AI14))
     ),IF(J_V="SI",(Datos!K14-Datos!U14)/Datos!U14,(Datos!K14+Datos!AA14-(Datos!U14+Datos!AI14))/(Datos!U14+Datos!AI14))," - ")</f>
        <v>-0.11203319502074689</v>
      </c>
      <c r="E14" s="1152">
        <f>IF(ISNUMBER(
   IF(J_V="SI",(Datos!L14-Datos!V14)/Datos!V14,(Datos!L14+Datos!AB14-(Datos!V14+Datos!AJ14))/(Datos!V14+Datos!AJ14))
     ),IF(J_V="SI",(Datos!L14-Datos!V14)/Datos!V14,(Datos!L14+Datos!AB14-(Datos!V14+Datos!AJ14))/(Datos!V14+Datos!AJ14))," - ")</f>
        <v>8.3333333333333329E-2</v>
      </c>
      <c r="F14" s="1153">
        <f>IF(ISNUMBER((Datos!M14-Datos!W14)/Datos!W14),(Datos!M14-Datos!W14)/Datos!W14," - ")</f>
        <v>-0.22222222222222221</v>
      </c>
      <c r="G14" s="1154">
        <f>IF(ISNUMBER((Datos!N14-Datos!X14)/Datos!X14),(Datos!N14-Datos!X14)/Datos!X14," - ")</f>
        <v>-0.33132530120481929</v>
      </c>
      <c r="H14" s="1154">
        <f>IF(ISNUMBER(((NºAsuntos!G14/NºAsuntos!E14)-Datos!BD14)/Datos!BD14),((NºAsuntos!G14/NºAsuntos!E14)-Datos!BD14)/Datos!BD14," - ")</f>
        <v>-0.10349505266517717</v>
      </c>
      <c r="I14" s="1154">
        <f>IF(ISNUMBER(((NºAsuntos!I14/NºAsuntos!G14)-Datos!BE14)/Datos!BE14),((NºAsuntos!I14/NºAsuntos!G14)-Datos!BE14)/Datos!BE14," - ")</f>
        <v>0.22001557632398761</v>
      </c>
      <c r="J14" s="1154">
        <f>IF(ISNUMBER((('Resol  Asuntos'!D14/NºAsuntos!G14)-Datos!BF14)/Datos!BF14),(('Resol  Asuntos'!D14/NºAsuntos!G14)-Datos!BF14)/Datos!BF14," - ")</f>
        <v>-0.57515809502490345</v>
      </c>
      <c r="K14" s="1154">
        <f>IF(ISNUMBER((((NºAsuntos!C14+NºAsuntos!E14)/NºAsuntos!G14)-Datos!BG14)/Datos!BG14),(((NºAsuntos!C14+NºAsuntos!E14)/NºAsuntos!G14)-Datos!BG14)/Datos!BG14," - ")</f>
        <v>0.11619534492856967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-3.9783001808318265E-2</v>
      </c>
      <c r="C17" s="515">
        <f>IF(ISNUMBER(
   IF(D_I="SI",(Datos!J17-Datos!T17)/Datos!T17,(Datos!J17+Datos!AD17-(Datos!T17+Datos!AL17))/(Datos!T17+Datos!AL17))
     ),IF(D_I="SI",(Datos!J17-Datos!T17)/Datos!T17,(Datos!J17+Datos!AD17-(Datos!T17+Datos!AL17))/(Datos!T17+Datos!AL17))," - ")</f>
        <v>0.26057906458797325</v>
      </c>
      <c r="D17" s="515">
        <f>IF(ISNUMBER(
   IF(D_I="SI",(Datos!K17-Datos!U17)/Datos!U17,(Datos!K17+Datos!AE17-(Datos!U17+Datos!AM17))/(Datos!U17+Datos!AM17))
     ),IF(D_I="SI",(Datos!K17-Datos!U17)/Datos!U17,(Datos!K17+Datos!AE17-(Datos!U17+Datos!AM17))/(Datos!U17+Datos!AM17))," - ")</f>
        <v>0.30699774266365687</v>
      </c>
      <c r="E17" s="515">
        <f>IF(ISNUMBER(
   IF(D_I="SI",(Datos!L17-Datos!V17)/Datos!V17,(Datos!L17+Datos!AF17-(Datos!V17+Datos!AN17))/(Datos!V17+Datos!AN17))
     ),IF(D_I="SI",(Datos!L17-Datos!V17)/Datos!V17,(Datos!L17+Datos!AF17-(Datos!V17+Datos!AN17))/(Datos!V17+Datos!AN17))," - ")</f>
        <v>-7.6923076923076927E-2</v>
      </c>
      <c r="F17" s="515">
        <f>IF(ISNUMBER((Datos!M17-Datos!W17)/Datos!W17),(Datos!M17-Datos!W17)/Datos!W17," - ")</f>
        <v>-0.18461538461538463</v>
      </c>
      <c r="G17" s="516">
        <f>IF(ISNUMBER((Datos!N17-Datos!X17)/Datos!X17),(Datos!N17-Datos!X17)/Datos!X17," - ")</f>
        <v>0.46341463414634149</v>
      </c>
      <c r="H17" s="514">
        <f>IF(ISNUMBER(((NºAsuntos!G17/NºAsuntos!E17)-Datos!BD17)/Datos!BD17),((NºAsuntos!G17/NºAsuntos!E17)-Datos!BD17)/Datos!BD17," - ")</f>
        <v>3.6823297625409715E-2</v>
      </c>
      <c r="I17" s="515">
        <f>IF(ISNUMBER(((NºAsuntos!I17/NºAsuntos!G17)-Datos!BE17)/Datos!BE17),((NºAsuntos!I17/NºAsuntos!G17)-Datos!BE17)/Datos!BE17," - ")</f>
        <v>-0.29374252690314878</v>
      </c>
      <c r="J17" s="521">
        <f>IF(ISNUMBER((('Resol  Asuntos'!D17/NºAsuntos!G17)-Datos!BF17)/Datos!BF17),(('Resol  Asuntos'!D17/NºAsuntos!G17)-Datos!BF17)/Datos!BF17," - ")</f>
        <v>-0.37613923209778133</v>
      </c>
      <c r="K17" s="522">
        <f>IF(ISNUMBER((((NºAsuntos!C17+NºAsuntos!E17)/NºAsuntos!G17)-Datos!BG17)/Datos!BG17),(((NºAsuntos!C17+NºAsuntos!E17)/NºAsuntos!G17)-Datos!BG17)/Datos!BG17," - ")</f>
        <v>-0.16234715370640415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-0.31707317073170732</v>
      </c>
      <c r="C18" s="515">
        <f>IF(ISNUMBER(
   IF(D_I="SI",(Datos!J18-Datos!T18)/Datos!T18,(Datos!J18+Datos!AD18-(Datos!T18+Datos!AL18))/(Datos!T18+Datos!AL18))
     ),IF(D_I="SI",(Datos!J18-Datos!T18)/Datos!T18,(Datos!J18+Datos!AD18-(Datos!T18+Datos!AL18))/(Datos!T18+Datos!AL18))," - ")</f>
        <v>-0.10256410256410256</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-0.40476190476190477</v>
      </c>
      <c r="F18" s="515">
        <f>IF(ISNUMBER((Datos!M18-Datos!W18)/Datos!W18),(Datos!M18-Datos!W18)/Datos!W18," - ")</f>
        <v>-0.33333333333333331</v>
      </c>
      <c r="G18" s="516">
        <f>IF(ISNUMBER((Datos!N18-Datos!X18)/Datos!X18),(Datos!N18-Datos!X18)/Datos!X18," - ")</f>
        <v>-0.10526315789473684</v>
      </c>
      <c r="H18" s="514">
        <f>IF(ISNUMBER(((NºAsuntos!G18/NºAsuntos!E18)-Datos!BD18)/Datos!BD18),((NºAsuntos!G18/NºAsuntos!E18)-Datos!BD18)/Datos!BD18," - ")</f>
        <v>0.11428571428571423</v>
      </c>
      <c r="I18" s="515">
        <f>IF(ISNUMBER(((NºAsuntos!I18/NºAsuntos!G18)-Datos!BE18)/Datos!BE18),((NºAsuntos!I18/NºAsuntos!G18)-Datos!BE18)/Datos!BE18," - ")</f>
        <v>-0.40476190476190477</v>
      </c>
      <c r="J18" s="521">
        <f>IF(ISNUMBER((('Resol  Asuntos'!D18/NºAsuntos!G18)-Datos!BF18)/Datos!BF18),(('Resol  Asuntos'!D18/NºAsuntos!G18)-Datos!BF18)/Datos!BF18," - ")</f>
        <v>-0.33333333333333331</v>
      </c>
      <c r="K18" s="522">
        <f>IF(ISNUMBER((((NºAsuntos!C18+NºAsuntos!E18)/NºAsuntos!G18)-Datos!BG18)/Datos!BG18),(((NºAsuntos!C18+NºAsuntos!E18)/NºAsuntos!G18)-Datos!BG18)/Datos!BG18," - ")</f>
        <v>-0.21249999999999994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-5.8922558922558925E-2</v>
      </c>
      <c r="C23" s="1152">
        <f>IF(ISNUMBER(
   IF(Criterios!B14="SI",(Datos!J23-Datos!T23)/Datos!T23,(Datos!J23+Datos!AD23-(Datos!T23+Datos!AL23))/(Datos!T23+Datos!AL23))
     ),IF(Criterios!B14="SI",(Datos!J23-Datos!T23)/Datos!T23,(Datos!J23+Datos!AD23-(Datos!T23+Datos!AL23))/(Datos!T23+Datos!AL23))," - ")</f>
        <v>0.23155737704918034</v>
      </c>
      <c r="D23" s="1152">
        <f>IF(ISNUMBER(
   IF(Criterios!B14="SI",(Datos!K23-Datos!U23)/Datos!U23,(Datos!K23+Datos!AE23-(Datos!U23+Datos!AM23))/(Datos!U23+Datos!AM23))
     ),IF(Criterios!B14="SI",(Datos!K23-Datos!U23)/Datos!U23,(Datos!K23+Datos!AE23-(Datos!U23+Datos!AM23))/(Datos!U23+Datos!AM23))," - ")</f>
        <v>0.28274428274428276</v>
      </c>
      <c r="E23" s="1152">
        <f>IF(ISNUMBER(
   IF(Criterios!B14="SI",(Datos!L23-Datos!V23)/Datos!V23,(Datos!L23+Datos!AF23-(Datos!V23+Datos!AN23))/(Datos!V23+Datos!AN23))
     ),IF(Criterios!B14="SI",(Datos!L23-Datos!V23)/Datos!V23,(Datos!L23+Datos!AF23-(Datos!V23+Datos!AN23))/(Datos!V23+Datos!AN23))," - ")</f>
        <v>-9.9833610648918464E-2</v>
      </c>
      <c r="F23" s="1153">
        <f>IF(ISNUMBER((Datos!M23-Datos!W23)/Datos!W23),(Datos!M23-Datos!W23)/Datos!W23," - ")</f>
        <v>-0.19117647058823528</v>
      </c>
      <c r="G23" s="1154">
        <f>IF(ISNUMBER((Datos!N23-Datos!X23)/Datos!X23),(Datos!N23-Datos!X23)/Datos!X23," - ")</f>
        <v>0.42264150943396228</v>
      </c>
      <c r="H23" s="1154">
        <f>IF(ISNUMBER(((NºAsuntos!G23/NºAsuntos!E23)-Datos!BD23)/Datos!BD23),((NºAsuntos!G23/NºAsuntos!E23)-Datos!BD23)/Datos!BD23," - ")</f>
        <v>4.1562745389700485E-2</v>
      </c>
      <c r="I23" s="1154">
        <f>IF(ISNUMBER(((NºAsuntos!I23/NºAsuntos!G23)-Datos!BE23)/Datos!BE23),((NºAsuntos!I23/NºAsuntos!G23)-Datos!BE23)/Datos!BE23," - ")</f>
        <v>-0.29824954087865441</v>
      </c>
      <c r="J23" s="1154">
        <f>IF(ISNUMBER((('Resol  Asuntos'!D23/NºAsuntos!G23)-Datos!BF23)/Datos!BF23),(('Resol  Asuntos'!D23/NºAsuntos!G23)-Datos!BF23)/Datos!BF23," - ")</f>
        <v>-0.36945848031270861</v>
      </c>
      <c r="K23" s="1154">
        <f>IF(ISNUMBER((((NºAsuntos!C23+NºAsuntos!E23)/NºAsuntos!G23)-Datos!BG23)/Datos!BG23),(((NºAsuntos!C23+NºAsuntos!E23)/NºAsuntos!G23)-Datos!BG23)/Datos!BG23," - ")</f>
        <v>-0.16422256641012353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-2.797657774886142E-2</v>
      </c>
      <c r="C31" s="1092">
        <f>IF(ISNUMBER(
   IF(J_V="SI",(Datos!J31-Datos!T31)/Datos!T31,(Datos!J31+Datos!Z31-(Datos!T31+Datos!AH31))/(Datos!T31+Datos!AH31))
     ),IF(J_V="SI",(Datos!J31-Datos!T31)/Datos!T31,(Datos!J31+Datos!Z31-(Datos!T31+Datos!AH31))/(Datos!T31+Datos!AH31))," - ")</f>
        <v>0.10661401776900296</v>
      </c>
      <c r="D31" s="1092">
        <f>IF(ISNUMBER(
   IF(J_V="SI",(Datos!K31-Datos!U31)/Datos!U31,(Datos!K31+Datos!AA31-(Datos!U31+Datos!AI31))/(Datos!U31+Datos!AI31))
     ),IF(J_V="SI",(Datos!K31-Datos!U31)/Datos!U31,(Datos!K31+Datos!AA31-(Datos!U31+Datos!AI31))/(Datos!U31+Datos!AI31))," - ")</f>
        <v>8.5150571131879543E-2</v>
      </c>
      <c r="E31" s="1092">
        <f>IF(ISNUMBER(
   IF(J_V="SI",(Datos!L31-Datos!V31)/Datos!V31,(Datos!L31+Datos!AB31-(Datos!V31+Datos!AJ31))/(Datos!V31+Datos!AJ31))
     ),IF(J_V="SI",(Datos!L31-Datos!V31)/Datos!V31,(Datos!L31+Datos!AB31-(Datos!V31+Datos!AJ31))/(Datos!V31+Datos!AJ31))," - ")</f>
        <v>1.2265978050355068E-2</v>
      </c>
      <c r="F31" s="1093">
        <f>IF(ISNUMBER((Datos!M31-Datos!W31)/Datos!W31),(Datos!M31-Datos!W31)/Datos!W31," - ")</f>
        <v>-0.20805369127516779</v>
      </c>
      <c r="G31" s="1094">
        <f>IF(ISNUMBER((Datos!N31-Datos!X31)/Datos!X31),(Datos!N31-Datos!X31)/Datos!X31," - ")</f>
        <v>0.13225058004640372</v>
      </c>
      <c r="H31" s="1095">
        <f>IF(ISNUMBER((Tasas!B31-Datos!BD31)/Datos!BD31),(Tasas!B31-Datos!BD31)/Datos!BD31," - ")</f>
        <v>-1.939560342855132E-2</v>
      </c>
      <c r="I31" s="1096">
        <f>IF(ISNUMBER((Tasas!C31-Datos!BE31)/Datos!BE31),(Tasas!C31-Datos!BE31)/Datos!BE31," - ")</f>
        <v>-6.7165419270342544E-2</v>
      </c>
      <c r="J31" s="1097">
        <f>IF(ISNUMBER((Tasas!D31-Datos!BF31)/Datos!BF31),(Tasas!D31-Datos!BF31)/Datos!BF31," - ")</f>
        <v>-0.53727374529166239</v>
      </c>
      <c r="K31" s="1097">
        <f>IF(ISNUMBER((Tasas!E31-Datos!BG31)/Datos!BG31),(Tasas!E31-Datos!BG31)/Datos!BG31," - ")</f>
        <v>-5.4978891077962284E-2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qsEtMRIEYCJGVRbEn2dDCO+J0Ahnr7PUvu8RmW2O/SbZfJBp/I+KvjQNe8DVA6kTalqQ6gcqbk9W8jTfvIJew==" saltValue="PiCmg9IF+ZVq+wkWjTBW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VILLANUEVA DE LA SERENA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0.82432432432432434</v>
      </c>
      <c r="C12" s="498">
        <f>IF(ISNUMBER(NºAsuntos!I12/NºAsuntos!G12),NºAsuntos!I12/NºAsuntos!G12," - ")</f>
        <v>2.3957845433255271</v>
      </c>
      <c r="D12" s="499">
        <f>IF(ISNUMBER('Resol  Asuntos'!D12/NºAsuntos!G12),'Resol  Asuntos'!D12/NºAsuntos!G12," - ")</f>
        <v>0.14519906323185011</v>
      </c>
      <c r="E12" s="500">
        <f>IF(ISNUMBER((NºAsuntos!C12+NºAsuntos!E12)/NºAsuntos!G12),(NºAsuntos!C12+NºAsuntos!E12)/NºAsuntos!G12," - ")</f>
        <v>3.3957845433255271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0.82307692307692304</v>
      </c>
      <c r="C14" s="1156">
        <f>IF(ISNUMBER(NºAsuntos!I14/NºAsuntos!G14),NºAsuntos!I14/NºAsuntos!G14," - ")</f>
        <v>2.3995327102803738</v>
      </c>
      <c r="D14" s="1157">
        <f>IF(ISNUMBER('Resol  Asuntos'!D14/NºAsuntos!G14),'Resol  Asuntos'!D14/NºAsuntos!G14," - ")</f>
        <v>0.14719626168224298</v>
      </c>
      <c r="E14" s="1158">
        <f>IF(ISNUMBER((NºAsuntos!C14+NºAsuntos!E14)/NºAsuntos!G14),(NºAsuntos!C14+NºAsuntos!E14)/NºAsuntos!G14," - ")</f>
        <v>3.3995327102803738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1.0229681978798586</v>
      </c>
      <c r="C17" s="498">
        <f>IF(ISNUMBER(NºAsuntos!I17/NºAsuntos!G17),NºAsuntos!I17/NºAsuntos!G17," - ")</f>
        <v>0.89119170984455953</v>
      </c>
      <c r="D17" s="499">
        <f>IF(ISNUMBER('Resol  Asuntos'!D17/NºAsuntos!G17),'Resol  Asuntos'!D17/NºAsuntos!G17," - ")</f>
        <v>9.1537132987910191E-2</v>
      </c>
      <c r="E17" s="500">
        <f>IF(ISNUMBER((NºAsuntos!C17+NºAsuntos!E17)/NºAsuntos!G17),(NºAsuntos!C17+NºAsuntos!E17)/NºAsuntos!G17," - ")</f>
        <v>1.8946459412780656</v>
      </c>
      <c r="G17" s="523"/>
    </row>
    <row r="18" spans="1:7">
      <c r="A18" s="450" t="str">
        <f>Datos!A18</f>
        <v>Jdos. Violencia contra la mujer</v>
      </c>
      <c r="B18" s="497">
        <f>IF(ISNUMBER(NºAsuntos!G18/NºAsuntos!E18),NºAsuntos!G18/NºAsuntos!E18," - ")</f>
        <v>1.0857142857142856</v>
      </c>
      <c r="C18" s="498">
        <f>IF(ISNUMBER(NºAsuntos!I18/NºAsuntos!G18),NºAsuntos!I18/NºAsuntos!G18," - ")</f>
        <v>0.65789473684210531</v>
      </c>
      <c r="D18" s="499">
        <f>IF(ISNUMBER('Resol  Asuntos'!D18/NºAsuntos!G18),'Resol  Asuntos'!D18/NºAsuntos!G18," - ")</f>
        <v>5.2631578947368418E-2</v>
      </c>
      <c r="E18" s="500">
        <f>IF(ISNUMBER((NºAsuntos!C18+NºAsuntos!E18)/NºAsuntos!G18),(NºAsuntos!C18+NºAsuntos!E18)/NºAsuntos!G18," - ")</f>
        <v>1.6578947368421053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1.0266222961730449</v>
      </c>
      <c r="C23" s="1156">
        <f>IF(ISNUMBER(NºAsuntos!I23/NºAsuntos!G23),NºAsuntos!I23/NºAsuntos!G23," - ")</f>
        <v>0.87682333873581852</v>
      </c>
      <c r="D23" s="1159">
        <f>IF(ISNUMBER('Resol  Asuntos'!D23/NºAsuntos!G23),'Resol  Asuntos'!D23/NºAsuntos!G23," - ")</f>
        <v>8.9141004862236625E-2</v>
      </c>
      <c r="E23" s="1158">
        <f>IF(ISNUMBER((NºAsuntos!C23+NºAsuntos!E23)/NºAsuntos!G23),(NºAsuntos!C23+NºAsuntos!E23)/NºAsuntos!G23," - ")</f>
        <v>1.880064829821718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0.93220338983050843</v>
      </c>
      <c r="C31" s="1099">
        <f>IF(ISNUMBER(NºAsuntos!I31/NºAsuntos!G31),NºAsuntos!I31/NºAsuntos!G31," - ")</f>
        <v>1.5004784688995216</v>
      </c>
      <c r="D31" s="1100">
        <f>IF(ISNUMBER('Resol  Asuntos'!D31/NºAsuntos!G31),'Resol  Asuntos'!D31/NºAsuntos!G31," - ")</f>
        <v>0.11291866028708133</v>
      </c>
      <c r="E31" s="1101">
        <f>IF(ISNUMBER((NºAsuntos!C31+NºAsuntos!E31)/NºAsuntos!G31),(NºAsuntos!C31+NºAsuntos!E31)/NºAsuntos!G31," - ")</f>
        <v>2.5023923444976077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wv78H0pl8V0iM9h5gj1dEWOeGy3WlI9ilv2/7DCnblUcigK9P8D8E8N300YIJX1fxmCIoFJf54zpMv7XlGO2Q==" saltValue="chN4+8h1mpqy05bBrjsC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VILLANUEVA DE LA SERENA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18</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0.82432432432432434</v>
      </c>
      <c r="AM12" s="284">
        <f>IF(ISNUMBER(((NºAsuntos!I12/NºAsuntos!G12)*11)/factor_trimestre),((NºAsuntos!I12/NºAsuntos!G12)*11)/factor_trimestre," - ")</f>
        <v>7.1873536299765819</v>
      </c>
      <c r="AN12" s="267">
        <f>IF(ISNUMBER('Resol  Asuntos'!D12/NºAsuntos!G12),'Resol  Asuntos'!D12/NºAsuntos!G12," - ")</f>
        <v>0.14519906323185011</v>
      </c>
      <c r="AO12" s="268">
        <f>IF(ISNUMBER((NºAsuntos!C12+NºAsuntos!E12)/NºAsuntos!G12),(NºAsuntos!C12+NºAsuntos!E12)/NºAsuntos!G12," - ")</f>
        <v>3.3957845433255271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147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38</v>
      </c>
      <c r="Y14" s="1165">
        <f t="shared" si="6"/>
        <v>39</v>
      </c>
      <c r="Z14" s="1165">
        <f t="shared" si="6"/>
        <v>0</v>
      </c>
      <c r="AA14" s="1165">
        <f t="shared" si="6"/>
        <v>4</v>
      </c>
      <c r="AB14" s="1165">
        <f t="shared" si="6"/>
        <v>2074</v>
      </c>
      <c r="AC14" s="1165">
        <f t="shared" si="6"/>
        <v>22</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0.82307692307692304</v>
      </c>
      <c r="AM14" s="1171">
        <f>IF(ISNUMBER(((NºAsuntos!I14/NºAsuntos!G14)*11)/factor_trimestre),((NºAsuntos!I14/NºAsuntos!G14)*11)/factor_trimestre," - ")</f>
        <v>7.1985981308411215</v>
      </c>
      <c r="AN14" s="1172">
        <f>IF(ISNUMBER('Resol  Asuntos'!D14/NºAsuntos!G14),'Resol  Asuntos'!D14/NºAsuntos!G14," - ")</f>
        <v>0.14719626168224298</v>
      </c>
      <c r="AO14" s="1173">
        <f>IF(ISNUMBER((NºAsuntos!C14+NºAsuntos!E14)/NºAsuntos!G14),(NºAsuntos!C14+NºAsuntos!E14)/NºAsuntos!G14," - ")</f>
        <v>3.3995327102803738</v>
      </c>
      <c r="AP14" s="1174" t="str">
        <f t="shared" si="2"/>
        <v xml:space="preserve"> - </v>
      </c>
      <c r="AQ14" s="1174">
        <f>IF(ISNUMBER((H14-W14+K14)/(F14)),(H14-W14+K14)/(F14)," - ")</f>
        <v>-0.33333333333333331</v>
      </c>
      <c r="AR14" s="1175">
        <f>IF(ISNUMBER((Datos!P14-Datos!Q14)/(Datos!R14-Datos!P14+Datos!Q14)),(Datos!P14-Datos!Q14)/(Datos!R14-Datos!P14+Datos!Q14)," - ")</f>
        <v>5.5470737913486008E-2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529</v>
      </c>
      <c r="G17" s="373">
        <f>IF(ISNUMBER(IF(D_I="SI",Datos!I17,Datos!I17+Datos!AC17)),IF(D_I="SI",Datos!I17,Datos!I17+Datos!AC17)," - ")</f>
        <v>531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579</v>
      </c>
      <c r="X17" s="240">
        <f>IF(ISNUMBER(Datos!Q17),Datos!Q17," - ")</f>
        <v>34</v>
      </c>
      <c r="Y17" s="374">
        <f t="shared" ref="Y17:Y22" si="9">SUM(W17:X17)</f>
        <v>613</v>
      </c>
      <c r="Z17" s="375" t="str">
        <f>IF(ISNUMBER(Datos!CC17),Datos!CC17," - ")</f>
        <v xml:space="preserve"> - </v>
      </c>
      <c r="AA17" s="372">
        <f>IF(ISNUMBER(IF(D_I="SI",Datos!L17,Datos!L17+Datos!AF17)),IF(D_I="SI",Datos!L17,Datos!L17+Datos!AF17)," - ")</f>
        <v>516</v>
      </c>
      <c r="AB17" s="374">
        <f>IF(ISNUMBER(Datos!R17),Datos!R17," - ")</f>
        <v>89</v>
      </c>
      <c r="AC17" s="374">
        <f t="shared" si="8"/>
        <v>605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1.0229681978798586</v>
      </c>
      <c r="AM17" s="284">
        <f>IF(ISNUMBER(((NºAsuntos!I17/NºAsuntos!G17)*11)/factor_trimestre),((NºAsuntos!I17/NºAsuntos!G17)*11)/factor_trimestre," - ")</f>
        <v>2.6735751295336785</v>
      </c>
      <c r="AN17" s="267">
        <f>IF(ISNUMBER('Resol  Asuntos'!D17/NºAsuntos!G17),'Resol  Asuntos'!D17/NºAsuntos!G17," - ")</f>
        <v>9.1537132987910191E-2</v>
      </c>
      <c r="AO17" s="268">
        <f>IF(ISNUMBER((NºAsuntos!C17+NºAsuntos!E17)/NºAsuntos!G17),(NºAsuntos!C17+NºAsuntos!E17)/NºAsuntos!G17," - ")</f>
        <v>1.8946459412780656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25</v>
      </c>
      <c r="AB18" s="374">
        <f>IF(ISNUMBER(Datos!R18),Datos!R18," - ")</f>
        <v>1</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1.0857142857142856</v>
      </c>
      <c r="AM18" s="284">
        <f>IF(ISNUMBER(((NºAsuntos!I18/NºAsuntos!G18)*11)/factor_trimestre),((NºAsuntos!I18/NºAsuntos!G18)*11)/factor_trimestre," - ")</f>
        <v>1.9736842105263159</v>
      </c>
      <c r="AN18" s="267">
        <f>IF(ISNUMBER('Resol  Asuntos'!D18/NºAsuntos!G18),'Resol  Asuntos'!D18/NºAsuntos!G18," - ")</f>
        <v>5.2631578947368418E-2</v>
      </c>
      <c r="AO18" s="268">
        <f>IF(ISNUMBER((NºAsuntos!C18+NºAsuntos!E18)/NºAsuntos!G18),(NºAsuntos!C18+NºAsuntos!E18)/NºAsuntos!G18," - ")</f>
        <v>1.6578947368421053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529</v>
      </c>
      <c r="G23" s="1163">
        <f>SUBTOTAL(9,G16:G22)</f>
        <v>559</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617</v>
      </c>
      <c r="X23" s="1164">
        <f t="shared" si="14"/>
        <v>34</v>
      </c>
      <c r="Y23" s="1165">
        <f t="shared" si="14"/>
        <v>651</v>
      </c>
      <c r="Z23" s="1165">
        <f t="shared" si="14"/>
        <v>0</v>
      </c>
      <c r="AA23" s="1165">
        <f t="shared" si="14"/>
        <v>541</v>
      </c>
      <c r="AB23" s="1165">
        <f t="shared" si="14"/>
        <v>90</v>
      </c>
      <c r="AC23" s="1165">
        <f t="shared" si="14"/>
        <v>631</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1.0266222961730449</v>
      </c>
      <c r="AM23" s="1171">
        <f>IF(ISNUMBER(((NºAsuntos!I23/NºAsuntos!G23)*11)/factor_trimestre),((NºAsuntos!I23/NºAsuntos!G23)*11)/factor_trimestre," - ")</f>
        <v>2.6304700162074557</v>
      </c>
      <c r="AN23" s="1172">
        <f>IF(ISNUMBER('Resol  Asuntos'!D23/NºAsuntos!G23),'Resol  Asuntos'!D23/NºAsuntos!G23," - ")</f>
        <v>8.9141004862236625E-2</v>
      </c>
      <c r="AO23" s="1173">
        <f>IF(ISNUMBER((NºAsuntos!C23+NºAsuntos!E23)/NºAsuntos!G23),(NºAsuntos!C23+NºAsuntos!E23)/NºAsuntos!G23," - ")</f>
        <v>1.880064829821718</v>
      </c>
      <c r="AP23" s="1174" t="str">
        <f t="shared" si="2"/>
        <v xml:space="preserve"> - </v>
      </c>
      <c r="AQ23" s="1174">
        <f>IF(ISNUMBER((H23-W23+K23)/(F23)),(H23-W23+K23)/(F23)," - ")</f>
        <v>-1.166351606805293</v>
      </c>
      <c r="AR23" s="1175">
        <f>IF(ISNUMBER((Datos!P23-Datos!Q23)/(Datos!R23-Datos!P23+Datos!Q23)),(Datos!P23-Datos!Q23)/(Datos!R23-Datos!P23+Datos!Q23)," - ")</f>
        <v>-7.2164948453608241E-2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532</v>
      </c>
      <c r="G31" s="1118">
        <f t="shared" si="20"/>
        <v>562</v>
      </c>
      <c r="H31" s="1117">
        <f t="shared" si="20"/>
        <v>0</v>
      </c>
      <c r="I31" s="1119">
        <f t="shared" si="20"/>
        <v>0</v>
      </c>
      <c r="J31" s="1119">
        <f t="shared" si="20"/>
        <v>0</v>
      </c>
      <c r="K31" s="1180">
        <f t="shared" si="20"/>
        <v>0</v>
      </c>
      <c r="L31" s="1119">
        <f t="shared" si="20"/>
        <v>174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618</v>
      </c>
      <c r="X31" s="1118">
        <f t="shared" si="21"/>
        <v>72</v>
      </c>
      <c r="Y31" s="1125">
        <f t="shared" si="21"/>
        <v>690</v>
      </c>
      <c r="Z31" s="1125">
        <f t="shared" si="21"/>
        <v>0</v>
      </c>
      <c r="AA31" s="1125">
        <f t="shared" si="21"/>
        <v>545</v>
      </c>
      <c r="AB31" s="1125">
        <f t="shared" si="21"/>
        <v>2164</v>
      </c>
      <c r="AC31" s="1125">
        <f t="shared" si="21"/>
        <v>653</v>
      </c>
      <c r="AD31" s="1125">
        <f t="shared" si="21"/>
        <v>0</v>
      </c>
      <c r="AE31" s="1127">
        <f t="shared" si="21"/>
        <v>0</v>
      </c>
      <c r="AF31" s="1128">
        <f t="shared" si="21"/>
        <v>0</v>
      </c>
      <c r="AG31" s="1129">
        <f t="shared" si="21"/>
        <v>0</v>
      </c>
      <c r="AH31" s="1127">
        <f t="shared" si="21"/>
        <v>0</v>
      </c>
      <c r="AI31" s="1117">
        <f t="shared" si="21"/>
        <v>118</v>
      </c>
      <c r="AJ31" s="1117">
        <f t="shared" si="21"/>
        <v>0</v>
      </c>
      <c r="AK31" s="1127">
        <f t="shared" si="21"/>
        <v>0</v>
      </c>
      <c r="AL31" s="1183">
        <f>IF(ISNUMBER(NºAsuntos!G31/NºAsuntos!E31),NºAsuntos!G31/NºAsuntos!E31," - ")</f>
        <v>0.93220338983050843</v>
      </c>
      <c r="AM31" s="1184">
        <f>IF(ISNUMBER(((NºAsuntos!I31/NºAsuntos!G31)*11)/factor_trimestre),((NºAsuntos!I31/NºAsuntos!G31)*11)/factor_trimestre," - ")</f>
        <v>4.5014354066985653</v>
      </c>
      <c r="AN31" s="1184">
        <f>IF(ISNUMBER('Resol  Asuntos'!D31/NºAsuntos!G31),'Resol  Asuntos'!D31/NºAsuntos!G31," - ")</f>
        <v>0.11291866028708133</v>
      </c>
      <c r="AO31" s="1185">
        <f>IF(ISNUMBER((NºAsuntos!C31+NºAsuntos!E31)/NºAsuntos!G31),(NºAsuntos!C31+NºAsuntos!E31)/NºAsuntos!G31," - ")</f>
        <v>2.5023923444976077</v>
      </c>
      <c r="AP31" s="1186" t="str">
        <f t="shared" si="2"/>
        <v xml:space="preserve"> - </v>
      </c>
      <c r="AQ31" s="1187">
        <f>IF(OR(ISNUMBER(FIND("01",Criterios!A8,1)),ISNUMBER(FIND("02",Criterios!A8,1)),ISNUMBER(FIND("03",Criterios!A8,1)),ISNUMBER(FIND("04",Criterios!A8,1))),(I31-W31+K31)/(F31-K31),(H31-W31+K31)/(F31-K31))</f>
        <v>-1.1616541353383458</v>
      </c>
      <c r="AR31" s="1188">
        <f>IF(ISNUMBER((Datos!P31-Datos!Q31)/(Datos!R31-Datos!P31+Datos!Q31)),(Datos!P31-Datos!Q31)/(Datos!R31-Datos!P31+Datos!Q31)," - ")</f>
        <v>4.9466537342386034E-2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272.40313263005379</v>
      </c>
      <c r="G33" s="277">
        <f>IF(ISNUMBER(STDEV(G8:G30)),STDEV(G8:G30),"-")</f>
        <v>262.92004940847016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288.42495103744471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30.914628992020681</v>
      </c>
      <c r="AJ33" s="276">
        <f t="shared" si="25"/>
        <v>0</v>
      </c>
      <c r="AK33" s="278">
        <f t="shared" si="25"/>
        <v>0</v>
      </c>
      <c r="AL33" s="273">
        <f t="shared" si="25"/>
        <v>0.21679260494990932</v>
      </c>
      <c r="AM33" s="274">
        <f t="shared" si="25"/>
        <v>3.9132280460474731</v>
      </c>
      <c r="AN33" s="274">
        <f t="shared" si="25"/>
        <v>0.36711908429425266</v>
      </c>
      <c r="AO33" s="275">
        <f t="shared" si="25"/>
        <v>1.3033978798173249</v>
      </c>
      <c r="AP33" s="317" t="str">
        <f t="shared" si="25"/>
        <v>-</v>
      </c>
      <c r="AQ33" s="318">
        <f t="shared" si="25"/>
        <v>0.5890328700243328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DxfEPMW+Xm/Zc5J1xSYfuSeYGf0rqd5SKLQ2lSevTvhdagSAq4NEXJt8SlBfApEnfpe+9ECEjkfLKvbehMUPg==" saltValue="rdqlP5PccSuJRyvZGJen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VILLANUEVA DE LA SERENA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-0.76923076923076927</v>
      </c>
      <c r="E10" s="393">
        <f>IF(ISNUMBER((Datos!J10-Datos!T10)/Datos!T10),(Datos!J10-Datos!T10)/Datos!T10," - ")</f>
        <v>-0.66666666666666663</v>
      </c>
      <c r="F10" s="393">
        <f>IF(ISNUMBER((Datos!K10-Datos!U10)/Datos!U10),(Datos!K10-Datos!U10)/Datos!U10," - ")</f>
        <v>-0.66666666666666663</v>
      </c>
      <c r="G10" s="394">
        <f>IF(ISNUMBER((Datos!L10-Datos!V10)/Datos!V10),(Datos!L10-Datos!V10)/Datos!V10," - ")</f>
        <v>-0.63636363636363635</v>
      </c>
      <c r="H10" s="244">
        <f>IF(ISNUMBER((Datos!M10-Datos!W10)/Datos!W10),(Datos!M10-Datos!W10)/Datos!W10," - ")</f>
        <v>-0.5</v>
      </c>
      <c r="I10" s="395">
        <f>IF(ISNUMBER((Tasas!C10-Datos!BE10)/Datos!BE10),(Tasas!C10-Datos!BE10)/Datos!BE10," - ")</f>
        <v>9.0909090909090953E-2</v>
      </c>
      <c r="J10" s="394">
        <f>IF(ISNUMBER((Tasas!D10-Datos!BF10)/Datos!BF10),(Tasas!D10-Datos!BF10)/Datos!BF10," - ")</f>
        <v>0.50000000000000011</v>
      </c>
      <c r="K10" s="396">
        <f>IF(ISNUMBER((Tasas!E10-Datos!BG10)/Datos!BG10),(Tasas!E10-Datos!BG10)/Datos!BG10," - ")</f>
        <v>-0.21052631578947364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-0.21518987341772153</v>
      </c>
      <c r="I12" s="395">
        <f>IF(ISNUMBER((Tasas!C12-Datos!BE12)/Datos!BE12),(Tasas!C12-Datos!BE12)/Datos!BE12," - ")</f>
        <v>0.22473937700419164</v>
      </c>
      <c r="J12" s="394">
        <f>IF(ISNUMBER((Tasas!D12-Datos!BF12)/Datos!BF12),(Tasas!D12-Datos!BF12)/Datos!BF12," - ")</f>
        <v>-0.57848271946632601</v>
      </c>
      <c r="K12" s="396">
        <f>IF(ISNUMBER((Tasas!E12-Datos!BG12)/Datos!BG12),(Tasas!E12-Datos!BG12)/Datos!BG12," - ")</f>
        <v>0.12255403468110947</v>
      </c>
      <c r="M12" t="e">
        <f>IF(Monitorios="SI",Datos!CE12,0)</f>
        <v>#REF!</v>
      </c>
      <c r="N12" t="e">
        <f>IF(Monitorios="SI",Datos!CF12,0)</f>
        <v>#REF!</v>
      </c>
      <c r="O12" t="e">
        <f>IF(Monitorios="SI",Datos!CG12,0)</f>
        <v>#REF!</v>
      </c>
      <c r="P12" t="e">
        <f>IF(Monitorios="SI",Datos!CH12,0)</f>
        <v>#REF!</v>
      </c>
      <c r="Q12">
        <f>IF(J_V="SI",0,Datos!AG12)</f>
        <v>36</v>
      </c>
      <c r="R12">
        <f>IF(J_V="SI",0,Datos!AH12)</f>
        <v>40</v>
      </c>
      <c r="S12">
        <f>IF(J_V="SI",0,Datos!AI12)</f>
        <v>35</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-0.22222222222222221</v>
      </c>
      <c r="I14" s="402">
        <f>IF(ISNUMBER((Tasas!C14-Datos!BE14)/Datos!BE14),(Tasas!C14-Datos!BE14)/Datos!BE14," - ")</f>
        <v>0.22001557632398761</v>
      </c>
      <c r="J14" s="400">
        <f>IF(ISNUMBER((Tasas!D14-Datos!BF14)/Datos!BF14),(Tasas!D14-Datos!BF14)/Datos!BF14," - ")</f>
        <v>-0.57515809502490345</v>
      </c>
      <c r="K14" s="403">
        <f>IF(ISNUMBER((Tasas!E14-Datos!BG14)/Datos!BG14),(Tasas!E14-Datos!BG14)/Datos!BG14," - ")</f>
        <v>0.11619534492856967</v>
      </c>
      <c r="M14" t="e">
        <f>IF(Monitorios="SI",Datos!CE14,0)</f>
        <v>#REF!</v>
      </c>
      <c r="N14" t="e">
        <f>IF(Monitorios="SI",Datos!CF14,0)</f>
        <v>#REF!</v>
      </c>
      <c r="O14" t="e">
        <f>IF(Monitorios="SI",Datos!CG14,0)</f>
        <v>#REF!</v>
      </c>
      <c r="P14" t="e">
        <f>IF(Monitorios="SI",Datos!CH14,0)</f>
        <v>#REF!</v>
      </c>
      <c r="Q14">
        <f>IF(J_V="SI",0,Datos!AG14)</f>
        <v>36</v>
      </c>
      <c r="R14">
        <f>IF(J_V="SI",0,Datos!AH14)</f>
        <v>40</v>
      </c>
      <c r="S14">
        <f>IF(J_V="SI",0,Datos!AI14)</f>
        <v>35</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-3.9783001808318265E-2</v>
      </c>
      <c r="E17" s="393">
        <f>IF(ISNUMBER(
   IF(D_I="SI",(Datos!J17-Datos!T17)/Datos!T17,(Datos!J17+Datos!AD17-(Datos!T17+Datos!AL17))/(Datos!T17+Datos!AL17))
     ),IF(D_I="SI",(Datos!J17-Datos!T17)/Datos!T17,(Datos!J17+Datos!AD17-(Datos!T17+Datos!AL17))/(Datos!T17+Datos!AL17))," - ")</f>
        <v>0.26057906458797325</v>
      </c>
      <c r="F17" s="393">
        <f>IF(ISNUMBER(
   IF(D_I="SI",(Datos!K17-Datos!U17)/Datos!U17,(Datos!K17+Datos!AE17-(Datos!U17+Datos!AM17))/(Datos!U17+Datos!AM17))
     ),IF(D_I="SI",(Datos!K17-Datos!U17)/Datos!U17,(Datos!K17+Datos!AE17-(Datos!U17+Datos!AM17))/(Datos!U17+Datos!AM17))," - ")</f>
        <v>0.30699774266365687</v>
      </c>
      <c r="G17" s="394">
        <f>IF(ISNUMBER(
   IF(D_I="SI",(Datos!L17-Datos!V17)/Datos!V17,(Datos!L17+Datos!AF17-(Datos!V17+Datos!AN17))/(Datos!V17+Datos!AN17))
     ),IF(D_I="SI",(Datos!L17-Datos!V17)/Datos!V17,(Datos!L17+Datos!AF17-(Datos!V17+Datos!AN17))/(Datos!V17+Datos!AN17))," - ")</f>
        <v>-7.6923076923076927E-2</v>
      </c>
      <c r="H17" s="244">
        <f>IF(ISNUMBER((Datos!M17-Datos!W17)/Datos!W17),(Datos!M17-Datos!W17)/Datos!W17," - ")</f>
        <v>-0.18461538461538463</v>
      </c>
      <c r="I17" s="395">
        <f>IF(ISNUMBER((Tasas!C17-Datos!BE17)/Datos!BE17),(Tasas!C17-Datos!BE17)/Datos!BE17," - ")</f>
        <v>-0.29374252690314878</v>
      </c>
      <c r="J17" s="394">
        <f>IF(ISNUMBER((Tasas!D17-Datos!BF17)/Datos!BF17),(Tasas!D17-Datos!BF17)/Datos!BF17," - ")</f>
        <v>-0.37613923209778133</v>
      </c>
      <c r="K17" s="396">
        <f>IF(ISNUMBER((Tasas!E17-Datos!BG17)/Datos!BG17),(Tasas!E17-Datos!BG17)/Datos!BG17," - ")</f>
        <v>-0.16234715370640415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-0.31707317073170732</v>
      </c>
      <c r="E18" s="393">
        <f>IF(ISNUMBER(
   IF(D_I="SI",(Datos!J18-Datos!T18)/Datos!T18,(Datos!J18+Datos!AD18-(Datos!T18+Datos!AL18))/(Datos!T18+Datos!AL18))
     ),IF(D_I="SI",(Datos!J18-Datos!T18)/Datos!T18,(Datos!J18+Datos!AD18-(Datos!T18+Datos!AL18))/(Datos!T18+Datos!AL18))," - ")</f>
        <v>-0.10256410256410256</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-0.40476190476190477</v>
      </c>
      <c r="H18" s="244">
        <f>IF(ISNUMBER((Datos!M18-Datos!W18)/Datos!W18),(Datos!M18-Datos!W18)/Datos!W18," - ")</f>
        <v>-0.33333333333333331</v>
      </c>
      <c r="I18" s="395">
        <f>IF(ISNUMBER((Tasas!C18-Datos!BE18)/Datos!BE18),(Tasas!C18-Datos!BE18)/Datos!BE18," - ")</f>
        <v>-0.40476190476190477</v>
      </c>
      <c r="J18" s="394">
        <f>IF(ISNUMBER((Tasas!D18-Datos!BF18)/Datos!BF18),(Tasas!D18-Datos!BF18)/Datos!BF18," - ")</f>
        <v>-0.33333333333333331</v>
      </c>
      <c r="K18" s="396">
        <f>IF(ISNUMBER((Tasas!E18-Datos!BG18)/Datos!BG18),(Tasas!E18-Datos!BG18)/Datos!BG18," - ")</f>
        <v>-0.21249999999999994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-5.8922558922558925E-2</v>
      </c>
      <c r="E23" s="399">
        <f>IF(ISNUMBER(
   IF(D_I="SI",(Datos!J23-Datos!T23)/Datos!T23,(Datos!J23+Datos!AD23-(Datos!T23+Datos!AL23))/(Datos!T23+Datos!AL23))
     ),IF(D_I="SI",(Datos!J23-Datos!T23)/Datos!T23,(Datos!J23+Datos!AD23-(Datos!T23+Datos!AL23))/(Datos!T23+Datos!AL23))," - ")</f>
        <v>0.23155737704918034</v>
      </c>
      <c r="F23" s="399">
        <f>IF(ISNUMBER(
   IF(D_I="SI",(Datos!K23-Datos!U23)/Datos!U23,(Datos!K23+Datos!AE23-(Datos!U23+Datos!AM23))/(Datos!U23+Datos!AM23))
     ),IF(D_I="SI",(Datos!K23-Datos!U23)/Datos!U23,(Datos!K23+Datos!AE23-(Datos!U23+Datos!AM23))/(Datos!U23+Datos!AM23))," - ")</f>
        <v>0.28274428274428276</v>
      </c>
      <c r="G23" s="400">
        <f>IF(ISNUMBER(
   IF(D_I="SI",(Datos!L23-Datos!V23)/Datos!V23,(Datos!L23+Datos!AF23-(Datos!V23+Datos!AN23))/(Datos!V23+Datos!AN23))
     ),IF(D_I="SI",(Datos!L23-Datos!V23)/Datos!V23,(Datos!L23+Datos!AF23-(Datos!V23+Datos!AN23))/(Datos!V23+Datos!AN23))," - ")</f>
        <v>-9.9833610648918464E-2</v>
      </c>
      <c r="H23" s="401">
        <f>IF(ISNUMBER((Datos!M23-Datos!W23)/Datos!W23),(Datos!M23-Datos!W23)/Datos!W23," - ")</f>
        <v>-0.19117647058823528</v>
      </c>
      <c r="I23" s="402">
        <f>IF(ISNUMBER((Tasas!C23-Datos!BE23)/Datos!BE23),(Tasas!C23-Datos!BE23)/Datos!BE23," - ")</f>
        <v>-0.29824954087865441</v>
      </c>
      <c r="J23" s="400">
        <f>IF(ISNUMBER((Tasas!D23-Datos!BF23)/Datos!BF23),(Tasas!D23-Datos!BF23)/Datos!BF23," - ")</f>
        <v>-0.36945848031270861</v>
      </c>
      <c r="K23" s="403">
        <f>IF(ISNUMBER((Tasas!E23-Datos!BG23)/Datos!BG23),(Tasas!E23-Datos!BG23)/Datos!BG23," - ")</f>
        <v>-0.16422256641012353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-2.797657774886142E-2</v>
      </c>
      <c r="E31" s="409">
        <f>IF(ISNUMBER(
   IF(J_V="SI",(Datos!J31-Datos!T31)/Datos!T31,(Datos!J31+Datos!Z31-(Datos!T31+Datos!AH31))/(Datos!T31+Datos!AH31))
     ),IF(J_V="SI",(Datos!J31-Datos!T31)/Datos!T31,(Datos!J31+Datos!Z31-(Datos!T31+Datos!AH31))/(Datos!T31+Datos!AH31))," - ")</f>
        <v>0.10661401776900296</v>
      </c>
      <c r="F31" s="409">
        <f>IF(ISNUMBER(
   IF(J_V="SI",(Datos!K31-Datos!U31)/Datos!U31,(Datos!K31+Datos!AA31-(Datos!U31+Datos!AI31))/(Datos!U31+Datos!AI31))
     ),IF(J_V="SI",(Datos!K31-Datos!U31)/Datos!U31,(Datos!K31+Datos!AA31-(Datos!U31+Datos!AI31))/(Datos!U31+Datos!AI31))," - ")</f>
        <v>8.5150571131879543E-2</v>
      </c>
      <c r="G31" s="410">
        <f>IF(ISNUMBER(
   IF(J_V="SI",(Datos!L31-Datos!V31)/Datos!V31,(Datos!L31+Datos!AB31-(Datos!V31+Datos!AJ31))/(Datos!V31+Datos!AJ31))
     ),IF(J_V="SI",(Datos!L31-Datos!V31)/Datos!V31,(Datos!L31+Datos!AB31-(Datos!V31+Datos!AJ31))/(Datos!V31+Datos!AJ31))," - ")</f>
        <v>1.2265978050355068E-2</v>
      </c>
      <c r="H31" s="411">
        <f>IF(ISNUMBER((Datos!M31-Datos!W31)/Datos!W31),(Datos!M31-Datos!W31)/Datos!W31," - ")</f>
        <v>-0.20805369127516779</v>
      </c>
      <c r="I31" s="408">
        <f>IF(ISNUMBER((Tasas!C31-Datos!BE31)/Datos!BE31),(Tasas!C31-Datos!BE31)/Datos!BE31," - ")</f>
        <v>-6.7165419270342544E-2</v>
      </c>
      <c r="J31" s="409">
        <f>IF(ISNUMBER((Tasas!D31-Datos!BF31)/Datos!BF31),(Tasas!D31-Datos!BF31)/Datos!BF31," - ")</f>
        <v>-0.53727374529166239</v>
      </c>
      <c r="K31" s="410">
        <f>IF(ISNUMBER((Tasas!E31-Datos!BG31)/Datos!BG31),(Tasas!E31-Datos!BG31)/Datos!BG31," - ")</f>
        <v>-5.4978891077962284E-2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0.33972736516639568</v>
      </c>
      <c r="E33" s="303">
        <f t="shared" si="1"/>
        <v>0.4310022392635271</v>
      </c>
      <c r="F33" s="303">
        <f t="shared" si="1"/>
        <v>0.45356257846865639</v>
      </c>
      <c r="G33" s="304">
        <f t="shared" si="1"/>
        <v>0.26699906745569324</v>
      </c>
      <c r="H33" s="310">
        <f t="shared" si="1"/>
        <v>0.12295063011457164</v>
      </c>
      <c r="I33" s="302">
        <f t="shared" si="1"/>
        <v>0.28664081269281261</v>
      </c>
      <c r="J33" s="303">
        <f t="shared" si="1"/>
        <v>0.40105850385115543</v>
      </c>
      <c r="K33" s="304">
        <f t="shared" si="1"/>
        <v>0.15989373210539126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zKCDuFXr3UhmZ2+s/KHz4ucT5+0ph5oYBTiuvvHsdWyjBgi/S34DUEIrDF2i49ZOaPYvIxQfHfT+N95+dXJmQ==" saltValue="UVL4Ef8Mu6sSix837bvG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